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transpetro.sharepoint.com/sites/GernciadeContratosdeServioseMateriaisOperacionais/Documentos Compartilhados/Contratação de Serviço/06 - RODIZIO DE FORNECEDORES/6- CGPSB/CGPSB - 2025/"/>
    </mc:Choice>
  </mc:AlternateContent>
  <xr:revisionPtr revIDLastSave="471" documentId="13_ncr:1_{A0B49322-56A6-40D8-BEFC-386879450855}" xr6:coauthVersionLast="47" xr6:coauthVersionMax="47" xr10:uidLastSave="{F643A7CA-0A55-4B8A-B4B9-923386860BCF}"/>
  <workbookProtection workbookAlgorithmName="SHA-512" workbookHashValue="AaPkvKXDEdSmXXX3AaC03PMPuvobtuecjiPvtqkWuvfRzPjvJrKGnjyJ8qE4p33q2rtlI6ld+9rdRJZVm9IYgQ==" workbookSaltValue="Kash5HtvWeLSNxM72jr4Qw==" workbookSpinCount="100000" lockStructure="1"/>
  <bookViews>
    <workbookView xWindow="1995" yWindow="-16320" windowWidth="29040" windowHeight="15720" xr2:uid="{00000000-000D-0000-FFFF-FFFF00000000}"/>
  </bookViews>
  <sheets>
    <sheet name="Proposta preliminar" sheetId="1" r:id="rId1"/>
    <sheet name="Km rodado, refeição e Lancha" sheetId="2" r:id="rId2"/>
  </sheets>
  <definedNames>
    <definedName name="_xlnm.Print_Area" localSheetId="0">'Proposta preliminar'!$B$2:$G$71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F44" i="1" s="1"/>
  <c r="F49" i="1" l="1"/>
  <c r="D17" i="1" l="1"/>
  <c r="D36" i="1" s="1"/>
  <c r="F50" i="1"/>
  <c r="D51" i="1"/>
  <c r="D49" i="1"/>
  <c r="D18" i="1" l="1"/>
  <c r="B26" i="2" l="1"/>
  <c r="F51" i="1"/>
  <c r="B20" i="2" l="1"/>
  <c r="O19" i="2"/>
  <c r="N19" i="2"/>
  <c r="M19" i="2"/>
  <c r="K19" i="2"/>
  <c r="J19" i="2"/>
  <c r="I19" i="2"/>
  <c r="D23" i="1"/>
  <c r="F36" i="1" l="1"/>
  <c r="F38" i="1" l="1"/>
  <c r="D26" i="1" s="1"/>
  <c r="F43" i="1" s="1"/>
  <c r="F37" i="1"/>
  <c r="F39" i="1" s="1"/>
  <c r="F40" i="1" s="1"/>
  <c r="N82" i="1" l="1"/>
  <c r="Q95" i="1" l="1"/>
  <c r="Q87" i="1"/>
  <c r="Q83" i="1"/>
  <c r="P89" i="1"/>
  <c r="F48" i="1" s="1"/>
  <c r="F52" i="1" s="1"/>
  <c r="C13" i="2"/>
  <c r="C12" i="2"/>
  <c r="C11" i="2"/>
  <c r="C10" i="2"/>
  <c r="C9" i="2"/>
  <c r="B13" i="2"/>
  <c r="B12" i="2"/>
  <c r="B11" i="2"/>
  <c r="B10" i="2"/>
  <c r="B9" i="2"/>
  <c r="C6" i="2"/>
  <c r="B6" i="2"/>
  <c r="F63" i="1"/>
  <c r="P84" i="1"/>
  <c r="P96" i="1"/>
  <c r="P88" i="1" l="1"/>
  <c r="P86" i="1"/>
  <c r="P100" i="1"/>
  <c r="P85" i="1"/>
  <c r="P94" i="1"/>
  <c r="P93" i="1"/>
  <c r="P92" i="1"/>
  <c r="P91" i="1"/>
  <c r="P99" i="1"/>
  <c r="P90" i="1"/>
  <c r="P97" i="1"/>
  <c r="E7" i="2" l="1"/>
  <c r="E8" i="2"/>
  <c r="E9" i="2"/>
  <c r="E10" i="2"/>
  <c r="E11" i="2"/>
  <c r="E12" i="2"/>
  <c r="E13" i="2"/>
  <c r="E14" i="2"/>
  <c r="D7" i="2"/>
  <c r="D8" i="2"/>
  <c r="D9" i="2"/>
  <c r="D10" i="2"/>
  <c r="D11" i="2"/>
  <c r="D12" i="2"/>
  <c r="D13" i="2"/>
  <c r="D14" i="2"/>
  <c r="F45" i="1" l="1"/>
  <c r="D16" i="2"/>
  <c r="E16" i="2"/>
  <c r="G16" i="2" l="1"/>
  <c r="F6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MARCUS VALERIO MARQUES DA FONSECA</author>
    <author>Renan da Silva Camara</author>
  </authors>
  <commentList>
    <comment ref="D19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Nota 13:</t>
        </r>
        <r>
          <rPr>
            <sz val="9"/>
            <color indexed="81"/>
            <rFont val="Segoe UI"/>
            <family val="2"/>
          </rPr>
          <t xml:space="preserve"> equipe é o agrupamento de dois ou mais profissionais que realizam tarefas de forma que as atividades individuais de cada integrante complementam o que foi executado pelo outro, sendo que a cooperação de todos garante o atingimento do resultado desejado.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26" authorId="0" shapeId="0" xr:uid="{00000000-0006-0000-0000-000002000000}">
      <text>
        <r>
          <rPr>
            <sz val="9"/>
            <color indexed="81"/>
            <rFont val="Segoe UI"/>
            <family val="2"/>
          </rPr>
          <t xml:space="preserve">Quantidade de </t>
        </r>
        <r>
          <rPr>
            <b/>
            <sz val="9"/>
            <color indexed="81"/>
            <rFont val="Segoe UI"/>
            <family val="2"/>
          </rPr>
          <t>horas à disposição,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estimadas,</t>
        </r>
        <r>
          <rPr>
            <sz val="9"/>
            <color indexed="81"/>
            <rFont val="Segoe UI"/>
            <family val="2"/>
          </rPr>
          <t xml:space="preserve"> a fim de compensar as horas comprovadamente perdidas em esperas para embarque e desembarque de navio e esperas por interrupções dos serviços, motivadas por necessidade operacional do navio.
</t>
        </r>
      </text>
    </comment>
    <comment ref="F33" authorId="1" shapeId="0" xr:uid="{588F9C1B-661A-483F-A9B0-27394C13BA08}">
      <text>
        <r>
          <rPr>
            <b/>
            <sz val="9"/>
            <color indexed="81"/>
            <rFont val="Segoe UI"/>
            <family val="2"/>
          </rPr>
          <t>Valor da soma das horas de toda equipe.
Ex.: 2 Técnicos - R$ 100,00/hora por técnico
1 Supervisor - R$ 200,00/hora
Total do HS: R$ 400,00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51" authorId="0" shapeId="0" xr:uid="{00000000-0006-0000-0000-000005000000}">
      <text>
        <r>
          <rPr>
            <sz val="9"/>
            <color indexed="81"/>
            <rFont val="Segoe UI"/>
            <family val="2"/>
          </rPr>
          <t xml:space="preserve">por 1 refeição/pessoa/dia; reembolso de até 2 refeições por dia por pessoa.
</t>
        </r>
      </text>
    </comment>
  </commentList>
</comments>
</file>

<file path=xl/sharedStrings.xml><?xml version="1.0" encoding="utf-8"?>
<sst xmlns="http://schemas.openxmlformats.org/spreadsheetml/2006/main" count="412" uniqueCount="231">
  <si>
    <t>gcserv</t>
  </si>
  <si>
    <t>Proposta Comercial - Versão 2025</t>
  </si>
  <si>
    <t>Legenda:</t>
  </si>
  <si>
    <t>6 = Segunda</t>
  </si>
  <si>
    <t>Nome da Empresa</t>
  </si>
  <si>
    <t>7 = Terça</t>
  </si>
  <si>
    <t>CNPJ:</t>
  </si>
  <si>
    <t>Proposta / Orçamento nº:</t>
  </si>
  <si>
    <t>1 = Quarta</t>
  </si>
  <si>
    <t>Proposta conforme Condições Gerais para Prestação de Serviços a Bordo CGPSB de</t>
  </si>
  <si>
    <t>2 = Quinta</t>
  </si>
  <si>
    <t>3 = Sexta</t>
  </si>
  <si>
    <t>1.</t>
  </si>
  <si>
    <t>Dados Gerais</t>
  </si>
  <si>
    <t>4 = Sábado</t>
  </si>
  <si>
    <t>1.1.</t>
  </si>
  <si>
    <t>Navio:</t>
  </si>
  <si>
    <t>5 = Domingo</t>
  </si>
  <si>
    <t>1.2.</t>
  </si>
  <si>
    <t>Equipamento ou Sistema:</t>
  </si>
  <si>
    <t>1.3.</t>
  </si>
  <si>
    <t>Porto de atendimento ao navio</t>
  </si>
  <si>
    <t>Rio de Janeiro</t>
  </si>
  <si>
    <t>1.4.</t>
  </si>
  <si>
    <t>Datas de início dos serviços (dd/mm/aa)</t>
  </si>
  <si>
    <t>1.5.</t>
  </si>
  <si>
    <t>Datas de fim dos serviços (dd/mm/aa)</t>
  </si>
  <si>
    <t>1.6.</t>
  </si>
  <si>
    <t xml:space="preserve">Total de dias úteis </t>
  </si>
  <si>
    <t>1.7.</t>
  </si>
  <si>
    <t>Total de dias não úteis</t>
  </si>
  <si>
    <t>1.8.</t>
  </si>
  <si>
    <t>Composição de equipe (Qtd de pessoas)</t>
  </si>
  <si>
    <t>1.9.</t>
  </si>
  <si>
    <t>Local de realização dos serviços</t>
  </si>
  <si>
    <t>A bordo e em oficina</t>
  </si>
  <si>
    <t>1.10.</t>
  </si>
  <si>
    <t>Eixo de deslocamento da equipe (cidades envolvidas)</t>
  </si>
  <si>
    <t>Cidade origem = cidade destino</t>
  </si>
  <si>
    <t>1.11.</t>
  </si>
  <si>
    <t>Transporte a ser utilizado no deslocamento entre cidades</t>
  </si>
  <si>
    <t>Não haverá viagens entre cidades</t>
  </si>
  <si>
    <t>1.12.</t>
  </si>
  <si>
    <t xml:space="preserve">Distância a percorrer com carro (desloc. entre cidades; ida + volta)               </t>
  </si>
  <si>
    <t>1.13.</t>
  </si>
  <si>
    <t>Condição do navio (na dúvida, selecione fundeado)</t>
  </si>
  <si>
    <t>Fundeado</t>
  </si>
  <si>
    <t>1.14.</t>
  </si>
  <si>
    <t>Horas de deslocamento (ida + volta)</t>
  </si>
  <si>
    <t>1.15.</t>
  </si>
  <si>
    <r>
      <t xml:space="preserve">Horas </t>
    </r>
    <r>
      <rPr>
        <b/>
        <sz val="10"/>
        <rFont val="Calibri Light"/>
        <family val="2"/>
      </rPr>
      <t>estimadas</t>
    </r>
    <r>
      <rPr>
        <sz val="10"/>
        <rFont val="Calibri Light"/>
        <family val="2"/>
      </rPr>
      <t xml:space="preserve"> em espera (embarque, desembarque ou motivada por bordo)</t>
    </r>
  </si>
  <si>
    <t>1.16.</t>
  </si>
  <si>
    <t>Lancha para transporte da equipe</t>
  </si>
  <si>
    <t>Fornecimento da TRANSPETRO</t>
  </si>
  <si>
    <t>1.17.</t>
  </si>
  <si>
    <t>Refeição para a equipe enquanto a bordo</t>
  </si>
  <si>
    <t>Fornecimento pelo navio</t>
  </si>
  <si>
    <t>1.18.</t>
  </si>
  <si>
    <t>Forma de Medição dos Serviços</t>
  </si>
  <si>
    <t>Valor Fixo (oficina) + HS</t>
  </si>
  <si>
    <t>2.</t>
  </si>
  <si>
    <t>Preço dos serviços</t>
  </si>
  <si>
    <t>2.1.</t>
  </si>
  <si>
    <t xml:space="preserve">Preço de serviço em valor fixo - fechado/tabelado (Realizados a bordo ou em oficina, Locação de equipamentos, etc) </t>
  </si>
  <si>
    <t>Total A (R$)</t>
  </si>
  <si>
    <t xml:space="preserve">2.2. </t>
  </si>
  <si>
    <r>
      <t xml:space="preserve">Valor da equipe em dias úteis </t>
    </r>
    <r>
      <rPr>
        <sz val="10"/>
        <rFont val="Calibri Light"/>
        <family val="2"/>
      </rPr>
      <t>(Este valor é o valor da equipe por hora)</t>
    </r>
  </si>
  <si>
    <t>(R$)</t>
  </si>
  <si>
    <t>2.3.</t>
  </si>
  <si>
    <r>
      <t xml:space="preserve">Valor da equipe em dias não úteis e/ou dias úteis entre 19:00 e 07:00 h </t>
    </r>
    <r>
      <rPr>
        <sz val="10"/>
        <rFont val="Calibri Light"/>
        <family val="2"/>
      </rPr>
      <t>(Este valor é o valor da equipe por hora)</t>
    </r>
  </si>
  <si>
    <t>2.3.1.</t>
  </si>
  <si>
    <t>Horas Normais estimadas de trabalho diário a bordo (máx 12 h)</t>
  </si>
  <si>
    <t>2.3.2.</t>
  </si>
  <si>
    <t>Distribuição do total de horas trabalhadas nos dias úteis</t>
  </si>
  <si>
    <t>2.3.3.</t>
  </si>
  <si>
    <t>Distribuição do total de horas trabalhadas em dias não úteis</t>
  </si>
  <si>
    <t>2.3.4.</t>
  </si>
  <si>
    <t>Total de Horas de Serviço (HS)</t>
  </si>
  <si>
    <t>2.4.</t>
  </si>
  <si>
    <t>Serviços a serem realizados a bordo e medidos por Horas de Serviço (HS)</t>
  </si>
  <si>
    <t>Total B (R$)</t>
  </si>
  <si>
    <t>Total Serv (A+B)</t>
  </si>
  <si>
    <t>3.</t>
  </si>
  <si>
    <t>Estimativa do gasto com a Equipe em deslocamento e à disposição</t>
  </si>
  <si>
    <t>3.1.</t>
  </si>
  <si>
    <r>
      <t xml:space="preserve">Preço </t>
    </r>
    <r>
      <rPr>
        <b/>
        <sz val="10"/>
        <rFont val="Calibri Light"/>
        <family val="2"/>
      </rPr>
      <t>estimado</t>
    </r>
    <r>
      <rPr>
        <sz val="10"/>
        <rFont val="Calibri Light"/>
        <family val="2"/>
      </rPr>
      <t xml:space="preserve"> para horas </t>
    </r>
    <r>
      <rPr>
        <b/>
        <sz val="10"/>
        <rFont val="Calibri Light"/>
        <family val="2"/>
      </rPr>
      <t>à disposição</t>
    </r>
    <r>
      <rPr>
        <sz val="10"/>
        <rFont val="Calibri Light"/>
        <family val="2"/>
      </rPr>
      <t xml:space="preserve">, </t>
    </r>
    <r>
      <rPr>
        <b/>
        <sz val="10"/>
        <rFont val="Calibri Light"/>
        <family val="2"/>
      </rPr>
      <t>a ser verificado no relatório final</t>
    </r>
  </si>
  <si>
    <t>À disposição (C) (R$)</t>
  </si>
  <si>
    <r>
      <t xml:space="preserve">Preço </t>
    </r>
    <r>
      <rPr>
        <b/>
        <sz val="10"/>
        <rFont val="Calibri Light"/>
        <family val="2"/>
      </rPr>
      <t>estimado</t>
    </r>
    <r>
      <rPr>
        <sz val="10"/>
        <rFont val="Calibri Light"/>
        <family val="2"/>
      </rPr>
      <t xml:space="preserve"> para horas em deslocamento,</t>
    </r>
    <r>
      <rPr>
        <b/>
        <sz val="10"/>
        <rFont val="Calibri Light"/>
        <family val="2"/>
      </rPr>
      <t xml:space="preserve"> a ser verificado no relatório final</t>
    </r>
  </si>
  <si>
    <t>Deslocamento (D) (R$)</t>
  </si>
  <si>
    <t>Total (C+D) (R$)</t>
  </si>
  <si>
    <t>4.</t>
  </si>
  <si>
    <t>Estimativa dos gastos com "Mobilização da equipe"</t>
  </si>
  <si>
    <t>4.1.</t>
  </si>
  <si>
    <t>Despesas com táxi para ida e volta a aeroportos das cidades de origem e destino</t>
  </si>
  <si>
    <t>4.2.</t>
  </si>
  <si>
    <t>Despesas de transporte entre cidades (ida e volta c/carro próprio)</t>
  </si>
  <si>
    <t>4.3.</t>
  </si>
  <si>
    <t>Despesas de lanchas no Rio (ida e volta da equipe + lancha p/ refeição)</t>
  </si>
  <si>
    <t>4.4.</t>
  </si>
  <si>
    <t xml:space="preserve">Alimentação da equipe </t>
  </si>
  <si>
    <t>Total Mobiliz.(R$)</t>
  </si>
  <si>
    <t>5.</t>
  </si>
  <si>
    <r>
      <t xml:space="preserve">Preço dos materiais </t>
    </r>
    <r>
      <rPr>
        <sz val="10"/>
        <rFont val="Calibri Light"/>
        <family val="2"/>
      </rPr>
      <t>(</t>
    </r>
    <r>
      <rPr>
        <u/>
        <sz val="10"/>
        <rFont val="Calibri Light"/>
        <family val="2"/>
      </rPr>
      <t>Valor não deve ultrapassar 40% do valor do serviço</t>
    </r>
    <r>
      <rPr>
        <sz val="10"/>
        <rFont val="Calibri Light"/>
        <family val="2"/>
      </rPr>
      <t>)</t>
    </r>
  </si>
  <si>
    <t>NM</t>
  </si>
  <si>
    <t>Preço Unitário (R$)</t>
  </si>
  <si>
    <t>Total Materiais (R$)</t>
  </si>
  <si>
    <t>6.</t>
  </si>
  <si>
    <r>
      <t xml:space="preserve">Preço total estimado (R$) </t>
    </r>
    <r>
      <rPr>
        <sz val="10"/>
        <rFont val="Calibri Light"/>
        <family val="2"/>
      </rPr>
      <t>(Serviços + Equipe à disp.+ Mobiliz.+ Materiais)</t>
    </r>
  </si>
  <si>
    <t>Os valores acima são estimados e estão sujeitos a variações conforme ocorrências.</t>
  </si>
  <si>
    <t>Data:</t>
  </si>
  <si>
    <t>Representante do Prestador de Serviços</t>
  </si>
  <si>
    <t>CGPSB</t>
  </si>
  <si>
    <t>Eixo do percurso "Cidade da contratada x Cidade do porto de atendimento"</t>
  </si>
  <si>
    <t>Tempo de deslocamento ( h )</t>
  </si>
  <si>
    <t>Distância a ser percorrida com carro próprio</t>
  </si>
  <si>
    <t>R$/Km</t>
  </si>
  <si>
    <t>Táxi p/ aeroporto (R$)</t>
  </si>
  <si>
    <t>Ônibus (R$)</t>
  </si>
  <si>
    <t>Na cidade destino (R$)</t>
  </si>
  <si>
    <t>Na origem e no destino (ida + volta) (R$)</t>
  </si>
  <si>
    <t>Navio atracado</t>
  </si>
  <si>
    <t>Navio fundeado</t>
  </si>
  <si>
    <t>Rio - Angra</t>
  </si>
  <si>
    <t>Rio - Belém/São Luís</t>
  </si>
  <si>
    <t>Rio - Cabedelo</t>
  </si>
  <si>
    <t>Rio - Fortaleza</t>
  </si>
  <si>
    <t>Rio - Macaé</t>
  </si>
  <si>
    <t>Rio - Macapá</t>
  </si>
  <si>
    <t>Rio - Manaus</t>
  </si>
  <si>
    <t>Rio - Natal</t>
  </si>
  <si>
    <t>Rio - Paranaguá</t>
  </si>
  <si>
    <t>Rio - Rio Grande</t>
  </si>
  <si>
    <t>Rio - Porto Alegre</t>
  </si>
  <si>
    <t>Rio - S. Sebastião (aéreo)</t>
  </si>
  <si>
    <t>Rio - S. Sebastião (rodoviário)</t>
  </si>
  <si>
    <t>Rio - Santos (aéreo)</t>
  </si>
  <si>
    <t>Rio - Santos (rodovia)</t>
  </si>
  <si>
    <t>Rio - Suape</t>
  </si>
  <si>
    <t>Santos - S. Sebastião</t>
  </si>
  <si>
    <t>Outros</t>
  </si>
  <si>
    <t>Táxi no Rio (Tom Jobim)</t>
  </si>
  <si>
    <t>Outros portos</t>
  </si>
  <si>
    <t>Local realização serviços</t>
  </si>
  <si>
    <t>Feriados</t>
  </si>
  <si>
    <t>segunda-feira</t>
  </si>
  <si>
    <t>Confraternização Universal</t>
  </si>
  <si>
    <t>Apenas a bordo</t>
  </si>
  <si>
    <t>Carnaval</t>
  </si>
  <si>
    <t>Apenas em oficina</t>
  </si>
  <si>
    <t>terça-feira</t>
  </si>
  <si>
    <t>sexta-feira</t>
  </si>
  <si>
    <t>Paixão de Cristo</t>
  </si>
  <si>
    <t>Transporte entre cidades</t>
  </si>
  <si>
    <t>domingo</t>
  </si>
  <si>
    <t>Tiradentes</t>
  </si>
  <si>
    <t>Carro próprio</t>
  </si>
  <si>
    <t>quarta-feira</t>
  </si>
  <si>
    <t>Dia do Trabalho</t>
  </si>
  <si>
    <t>Avião</t>
  </si>
  <si>
    <t>quinta-feira</t>
  </si>
  <si>
    <t>Corpus Christi</t>
  </si>
  <si>
    <t>Ônibus</t>
  </si>
  <si>
    <t>sábado</t>
  </si>
  <si>
    <t>Independência do Brasil</t>
  </si>
  <si>
    <r>
      <t>Nossa Sr.</t>
    </r>
    <r>
      <rPr>
        <vertAlign val="superscript"/>
        <sz val="10"/>
        <rFont val="Cambria"/>
        <family val="1"/>
        <scheme val="major"/>
      </rPr>
      <t>a</t>
    </r>
    <r>
      <rPr>
        <sz val="10"/>
        <rFont val="Cambria"/>
        <family val="1"/>
        <scheme val="major"/>
      </rPr>
      <t xml:space="preserve"> Aparecida - Padroeira do Brasil</t>
    </r>
  </si>
  <si>
    <t>Finados</t>
  </si>
  <si>
    <t>Condição do navio</t>
  </si>
  <si>
    <t>Proclamação da República</t>
  </si>
  <si>
    <t>Atracado</t>
  </si>
  <si>
    <t>Natal</t>
  </si>
  <si>
    <t>Lancha transporte equipe</t>
  </si>
  <si>
    <t>Fornecimento da contratada</t>
  </si>
  <si>
    <t>Refeição</t>
  </si>
  <si>
    <t>Fornecimento pela contratada</t>
  </si>
  <si>
    <r>
      <t>Nossa Sr.</t>
    </r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Aparecida - Padroeira do Brasil</t>
    </r>
  </si>
  <si>
    <t>Divisão expediente da contratada</t>
  </si>
  <si>
    <t>Normais; extras a 50% e 100%</t>
  </si>
  <si>
    <t>Normais e extras a 100%</t>
  </si>
  <si>
    <t>Normais e extras a 50%</t>
  </si>
  <si>
    <t>Valor Fixo (oficina/bordo/bordo&amp;oficina)</t>
  </si>
  <si>
    <t>HS</t>
  </si>
  <si>
    <t xml:space="preserve">CGPSB </t>
  </si>
  <si>
    <t>Memória de cálculo para valor do Km rodado</t>
  </si>
  <si>
    <t>Memória de cálculo para valor de lanchas de Oficinas</t>
  </si>
  <si>
    <t>Base: automóvel (Gol 1000 / 20.000 Km / ano) - Gol 1.0 - 2015</t>
  </si>
  <si>
    <t>Preços de mercado</t>
  </si>
  <si>
    <t>Cálculo R$ / Km</t>
  </si>
  <si>
    <t>Fonte</t>
  </si>
  <si>
    <t>Base: Acordo de preços com Antônio Carlos x TRANSPETRO, de 01/07/13</t>
  </si>
  <si>
    <t>Mín</t>
  </si>
  <si>
    <t>Máx</t>
  </si>
  <si>
    <t>1. Valor</t>
  </si>
  <si>
    <t>Tabela FIPE - Mercado</t>
  </si>
  <si>
    <t>Na Baía de Guanabara</t>
  </si>
  <si>
    <t>Fora da Barra</t>
  </si>
  <si>
    <t>2. Depreciação em 10 anos = Valor / (10 x 20.000)</t>
  </si>
  <si>
    <t>H. Normal</t>
  </si>
  <si>
    <t>H. Extra</t>
  </si>
  <si>
    <t>Sáb, dom e fer</t>
  </si>
  <si>
    <t>3. Seguro a 10 % valor do veículo = (0,10 x Valor) / 20.000</t>
  </si>
  <si>
    <t>PORTO SEGURO</t>
  </si>
  <si>
    <t>4. Gasolina (10 Km / L) = preço litro gas. / 10</t>
  </si>
  <si>
    <t>5. Óleo (troca cada 7.500 Km) =  (preço óleo x 3 litros) / 7.500</t>
  </si>
  <si>
    <t>DPASCHOAL</t>
  </si>
  <si>
    <t>Esses valores devem ser acrescidos de ISS; PIS e COFINS</t>
  </si>
  <si>
    <t>6. Pneus (troca cada 45 Km) = (preço pneu x 4) / 45.000</t>
  </si>
  <si>
    <t>ISS= 5%; PIS=1,65% e COFINS=7,6 -------Total = 14,25 -------- (1 - 0,1425) = 0,8575</t>
  </si>
  <si>
    <t>7. Amortecedores (a cada 30.000 Km) = (preço conjunto) / 30.000</t>
  </si>
  <si>
    <t>8. Revisão (a cada 20.000 Km) = (preço) / 20.000</t>
  </si>
  <si>
    <t>RECREIO VEÍCULOS</t>
  </si>
  <si>
    <t>9. IPVA Utilitário (3% valor do veículo) = (0,03 x Valor) / 20.000</t>
  </si>
  <si>
    <t xml:space="preserve">Valor da viagem redonda para Oficinas                                  </t>
  </si>
  <si>
    <t>10. Motorista = salário x 12 / 20.000   ( * )</t>
  </si>
  <si>
    <t xml:space="preserve">(= valores do Acordo / 0,8575) </t>
  </si>
  <si>
    <t xml:space="preserve">Ʃ = </t>
  </si>
  <si>
    <t xml:space="preserve">Valor médio = </t>
  </si>
  <si>
    <t>( * ) O motorista não será considerado, pois seu valor deve estar contido nos custos administrativos da contratada.</t>
  </si>
  <si>
    <t>ISS = 5%; PIS = 1,65% e COFINS = 7,6 ------  Total = 14,25 ------ (1 - 0,1425) = 0,8575</t>
  </si>
  <si>
    <t>H. Noturna</t>
  </si>
  <si>
    <t>Valor do km rodado, incluindo impostos em Set/2015 =</t>
  </si>
  <si>
    <t>das 07 às 19 h</t>
  </si>
  <si>
    <t>Memória de cálculo do valor da refeição/pessoa</t>
  </si>
  <si>
    <t>das 19 às 07h</t>
  </si>
  <si>
    <t>Base: Auxílio Refeição em maio 2012  =====================</t>
  </si>
  <si>
    <t>Base: Auxílio Refeição em setembro 2015  =====================</t>
  </si>
  <si>
    <t>Valor do km rodado, incluindo impostos em Ago/2025 =</t>
  </si>
  <si>
    <t xml:space="preserve">Ago/25 = Set 2015 x 2,0567102 (IGPM) </t>
  </si>
  <si>
    <t>Hs normais</t>
  </si>
  <si>
    <t>Hs extras</t>
  </si>
  <si>
    <t xml:space="preserve">Rio – Salvador/Temadre (aéreo e terrestre) </t>
  </si>
  <si>
    <t>Rio - Vitória/Barra do Riacho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</si>
</sst>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mmm/yyyy"/>
    <numFmt numFmtId="165" formatCode="&quot;R$ &quot;#,##0.00;[Red]&quot;R$ &quot;#,##0.00"/>
    <numFmt numFmtId="166" formatCode="dd/mm/yy;@"/>
    <numFmt numFmtId="167" formatCode="#,##0.00;[Red]#,##0.00"/>
    <numFmt numFmtId="168" formatCode="#,##0.0000"/>
    <numFmt numFmtId="169" formatCode="[$-416]mmm\-yy;@"/>
    <numFmt numFmtId="170" formatCode="#,##0;[Red]#,##0"/>
    <numFmt numFmtId="171" formatCode="00\.000\.000\/0000\-00,"/>
    <numFmt numFmtId="172" formatCode="&quot;R$&quot;\ 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Calibri Light"/>
      <family val="2"/>
    </font>
    <font>
      <sz val="10"/>
      <color rgb="FFFF0000"/>
      <name val="Calibri Light"/>
      <family val="2"/>
    </font>
    <font>
      <b/>
      <sz val="10"/>
      <name val="Calibri Light"/>
      <family val="2"/>
    </font>
    <font>
      <b/>
      <sz val="10"/>
      <color rgb="FFFF0000"/>
      <name val="Calibri Light"/>
      <family val="2"/>
    </font>
    <font>
      <sz val="10"/>
      <name val="Cambria"/>
      <family val="1"/>
      <scheme val="major"/>
    </font>
    <font>
      <vertAlign val="superscript"/>
      <sz val="10"/>
      <name val="Cambria"/>
      <family val="1"/>
      <scheme val="major"/>
    </font>
    <font>
      <b/>
      <sz val="14"/>
      <name val="Calibri Light"/>
      <family val="2"/>
    </font>
    <font>
      <sz val="10"/>
      <color theme="0"/>
      <name val="Calibri Light"/>
      <family val="2"/>
    </font>
    <font>
      <sz val="9"/>
      <color indexed="81"/>
      <name val="Segoe UI"/>
      <family val="2"/>
    </font>
    <font>
      <sz val="18"/>
      <name val="Calibri Light"/>
      <family val="2"/>
    </font>
    <font>
      <b/>
      <sz val="18"/>
      <name val="Calibri Light"/>
      <family val="2"/>
    </font>
    <font>
      <b/>
      <sz val="18"/>
      <color rgb="FFFF0000"/>
      <name val="Calibri Light"/>
      <family val="2"/>
    </font>
    <font>
      <sz val="18"/>
      <color rgb="FFFF0000"/>
      <name val="Calibri Light"/>
      <family val="2"/>
    </font>
    <font>
      <b/>
      <sz val="9"/>
      <color indexed="81"/>
      <name val="Segoe UI"/>
      <family val="2"/>
    </font>
    <font>
      <vertAlign val="superscript"/>
      <sz val="10"/>
      <name val="Arial"/>
      <family val="2"/>
    </font>
    <font>
      <i/>
      <sz val="10"/>
      <name val="Calibri Light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u/>
      <sz val="1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1F1F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" fillId="0" borderId="0"/>
  </cellStyleXfs>
  <cellXfs count="253">
    <xf numFmtId="0" fontId="0" fillId="0" borderId="0" xfId="0"/>
    <xf numFmtId="4" fontId="0" fillId="0" borderId="0" xfId="0" applyNumberFormat="1"/>
    <xf numFmtId="0" fontId="0" fillId="0" borderId="2" xfId="0" applyBorder="1"/>
    <xf numFmtId="4" fontId="4" fillId="0" borderId="0" xfId="0" applyNumberFormat="1" applyFont="1"/>
    <xf numFmtId="4" fontId="5" fillId="0" borderId="3" xfId="0" applyNumberFormat="1" applyFont="1" applyBorder="1"/>
    <xf numFmtId="0" fontId="3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0" fillId="0" borderId="11" xfId="0" applyBorder="1"/>
    <xf numFmtId="0" fontId="0" fillId="0" borderId="12" xfId="0" applyBorder="1"/>
    <xf numFmtId="0" fontId="2" fillId="0" borderId="11" xfId="0" applyFont="1" applyBorder="1"/>
    <xf numFmtId="168" fontId="0" fillId="0" borderId="0" xfId="0" applyNumberFormat="1"/>
    <xf numFmtId="4" fontId="0" fillId="0" borderId="41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0" fontId="0" fillId="0" borderId="42" xfId="0" applyBorder="1"/>
    <xf numFmtId="4" fontId="5" fillId="0" borderId="43" xfId="0" applyNumberFormat="1" applyFont="1" applyBorder="1"/>
    <xf numFmtId="0" fontId="0" fillId="0" borderId="44" xfId="0" applyBorder="1"/>
    <xf numFmtId="4" fontId="0" fillId="0" borderId="27" xfId="0" applyNumberFormat="1" applyBorder="1" applyAlignment="1">
      <alignment horizontal="center"/>
    </xf>
    <xf numFmtId="0" fontId="2" fillId="0" borderId="0" xfId="0" applyFont="1"/>
    <xf numFmtId="4" fontId="4" fillId="0" borderId="0" xfId="0" applyNumberFormat="1" applyFont="1" applyAlignment="1">
      <alignment horizontal="right"/>
    </xf>
    <xf numFmtId="4" fontId="4" fillId="3" borderId="14" xfId="0" applyNumberFormat="1" applyFont="1" applyFill="1" applyBorder="1"/>
    <xf numFmtId="4" fontId="0" fillId="3" borderId="14" xfId="0" applyNumberFormat="1" applyFill="1" applyBorder="1"/>
    <xf numFmtId="0" fontId="0" fillId="3" borderId="15" xfId="0" applyFill="1" applyBorder="1"/>
    <xf numFmtId="2" fontId="0" fillId="0" borderId="0" xfId="0" applyNumberFormat="1"/>
    <xf numFmtId="0" fontId="0" fillId="3" borderId="14" xfId="0" applyFill="1" applyBorder="1"/>
    <xf numFmtId="0" fontId="0" fillId="0" borderId="32" xfId="0" applyBorder="1" applyAlignment="1">
      <alignment horizontal="center"/>
    </xf>
    <xf numFmtId="0" fontId="0" fillId="0" borderId="19" xfId="0" applyBorder="1" applyAlignment="1">
      <alignment horizontal="center"/>
    </xf>
    <xf numFmtId="4" fontId="0" fillId="0" borderId="32" xfId="0" applyNumberForma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4" fontId="0" fillId="0" borderId="34" xfId="0" applyNumberFormat="1" applyBorder="1" applyAlignment="1">
      <alignment horizontal="center"/>
    </xf>
    <xf numFmtId="164" fontId="6" fillId="0" borderId="0" xfId="0" applyNumberFormat="1" applyFont="1"/>
    <xf numFmtId="0" fontId="2" fillId="0" borderId="7" xfId="0" applyFont="1" applyBorder="1"/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" fontId="3" fillId="0" borderId="19" xfId="0" applyNumberFormat="1" applyFon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31" xfId="0" applyNumberFormat="1" applyBorder="1" applyAlignment="1">
      <alignment horizontal="center"/>
    </xf>
    <xf numFmtId="4" fontId="0" fillId="0" borderId="43" xfId="0" applyNumberFormat="1" applyBorder="1" applyAlignment="1">
      <alignment horizontal="center"/>
    </xf>
    <xf numFmtId="4" fontId="0" fillId="0" borderId="50" xfId="0" applyNumberFormat="1" applyBorder="1" applyAlignment="1">
      <alignment horizontal="center"/>
    </xf>
    <xf numFmtId="0" fontId="2" fillId="0" borderId="24" xfId="0" applyFont="1" applyBorder="1" applyAlignment="1">
      <alignment horizontal="right"/>
    </xf>
    <xf numFmtId="2" fontId="0" fillId="0" borderId="53" xfId="0" applyNumberFormat="1" applyBorder="1" applyAlignment="1">
      <alignment horizontal="left"/>
    </xf>
    <xf numFmtId="0" fontId="7" fillId="0" borderId="11" xfId="0" applyFont="1" applyBorder="1"/>
    <xf numFmtId="4" fontId="8" fillId="3" borderId="33" xfId="0" applyNumberFormat="1" applyFont="1" applyFill="1" applyBorder="1" applyAlignment="1">
      <alignment horizontal="center"/>
    </xf>
    <xf numFmtId="0" fontId="10" fillId="0" borderId="14" xfId="0" applyFont="1" applyBorder="1"/>
    <xf numFmtId="4" fontId="2" fillId="0" borderId="18" xfId="0" applyNumberFormat="1" applyFont="1" applyBorder="1"/>
    <xf numFmtId="4" fontId="2" fillId="0" borderId="3" xfId="0" applyNumberFormat="1" applyFont="1" applyBorder="1"/>
    <xf numFmtId="4" fontId="8" fillId="3" borderId="14" xfId="0" applyNumberFormat="1" applyFont="1" applyFill="1" applyBorder="1"/>
    <xf numFmtId="4" fontId="2" fillId="0" borderId="12" xfId="0" applyNumberFormat="1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2" fontId="13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43" fontId="12" fillId="0" borderId="0" xfId="1" applyFont="1" applyProtection="1"/>
    <xf numFmtId="4" fontId="12" fillId="0" borderId="0" xfId="0" applyNumberFormat="1" applyFont="1"/>
    <xf numFmtId="43" fontId="12" fillId="0" borderId="0" xfId="0" applyNumberFormat="1" applyFont="1"/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165" fontId="13" fillId="0" borderId="0" xfId="0" applyNumberFormat="1" applyFont="1" applyAlignment="1">
      <alignment horizontal="left"/>
    </xf>
    <xf numFmtId="165" fontId="13" fillId="0" borderId="0" xfId="0" applyNumberFormat="1" applyFont="1" applyAlignment="1">
      <alignment horizontal="left" vertical="center" wrapText="1"/>
    </xf>
    <xf numFmtId="4" fontId="13" fillId="0" borderId="0" xfId="0" applyNumberFormat="1" applyFont="1"/>
    <xf numFmtId="0" fontId="12" fillId="0" borderId="37" xfId="0" applyFont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2" fontId="13" fillId="0" borderId="22" xfId="0" applyNumberFormat="1" applyFont="1" applyBorder="1" applyAlignment="1">
      <alignment horizontal="right" vertical="center" wrapText="1"/>
    </xf>
    <xf numFmtId="2" fontId="13" fillId="0" borderId="28" xfId="0" applyNumberFormat="1" applyFont="1" applyBorder="1" applyAlignment="1">
      <alignment horizontal="right" vertical="center" wrapText="1"/>
    </xf>
    <xf numFmtId="2" fontId="13" fillId="0" borderId="1" xfId="0" applyNumberFormat="1" applyFont="1" applyBorder="1"/>
    <xf numFmtId="0" fontId="13" fillId="0" borderId="16" xfId="0" applyFont="1" applyBorder="1" applyAlignment="1">
      <alignment horizontal="left" vertical="center" wrapText="1"/>
    </xf>
    <xf numFmtId="2" fontId="13" fillId="0" borderId="23" xfId="0" applyNumberFormat="1" applyFont="1" applyBorder="1" applyAlignment="1">
      <alignment horizontal="right" vertical="center" wrapText="1"/>
    </xf>
    <xf numFmtId="2" fontId="13" fillId="0" borderId="29" xfId="0" applyNumberFormat="1" applyFont="1" applyBorder="1" applyAlignment="1">
      <alignment horizontal="right" vertical="center" wrapText="1"/>
    </xf>
    <xf numFmtId="2" fontId="13" fillId="4" borderId="16" xfId="0" applyNumberFormat="1" applyFont="1" applyFill="1" applyBorder="1"/>
    <xf numFmtId="2" fontId="13" fillId="0" borderId="16" xfId="0" applyNumberFormat="1" applyFont="1" applyBorder="1"/>
    <xf numFmtId="0" fontId="13" fillId="0" borderId="23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2" fontId="13" fillId="0" borderId="17" xfId="0" applyNumberFormat="1" applyFont="1" applyBorder="1" applyAlignment="1">
      <alignment vertical="center" wrapText="1"/>
    </xf>
    <xf numFmtId="2" fontId="13" fillId="0" borderId="20" xfId="0" applyNumberFormat="1" applyFont="1" applyBorder="1" applyAlignment="1">
      <alignment horizontal="right" vertical="center"/>
    </xf>
    <xf numFmtId="2" fontId="13" fillId="0" borderId="21" xfId="0" applyNumberFormat="1" applyFont="1" applyBorder="1" applyAlignment="1">
      <alignment horizontal="right" vertical="center" wrapText="1"/>
    </xf>
    <xf numFmtId="2" fontId="13" fillId="0" borderId="17" xfId="0" applyNumberFormat="1" applyFont="1" applyBorder="1"/>
    <xf numFmtId="0" fontId="13" fillId="0" borderId="6" xfId="0" applyFont="1" applyBorder="1" applyAlignment="1">
      <alignment horizontal="left"/>
    </xf>
    <xf numFmtId="2" fontId="13" fillId="0" borderId="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left"/>
    </xf>
    <xf numFmtId="0" fontId="13" fillId="0" borderId="17" xfId="0" applyFont="1" applyBorder="1" applyAlignment="1">
      <alignment horizontal="left"/>
    </xf>
    <xf numFmtId="0" fontId="13" fillId="0" borderId="6" xfId="0" applyFont="1" applyBorder="1"/>
    <xf numFmtId="166" fontId="13" fillId="0" borderId="6" xfId="0" applyNumberFormat="1" applyFont="1" applyBorder="1" applyAlignment="1">
      <alignment horizontal="center"/>
    </xf>
    <xf numFmtId="0" fontId="13" fillId="0" borderId="16" xfId="0" applyFont="1" applyBorder="1"/>
    <xf numFmtId="0" fontId="13" fillId="0" borderId="17" xfId="0" applyFont="1" applyBorder="1"/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1" xfId="0" applyFont="1" applyBorder="1"/>
    <xf numFmtId="166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right" vertical="top" wrapText="1"/>
    </xf>
    <xf numFmtId="0" fontId="1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2" fillId="0" borderId="57" xfId="0" applyFont="1" applyBorder="1" applyAlignment="1">
      <alignment vertical="center"/>
    </xf>
    <xf numFmtId="0" fontId="14" fillId="0" borderId="57" xfId="0" applyFont="1" applyBorder="1" applyAlignment="1">
      <alignment vertical="center"/>
    </xf>
    <xf numFmtId="0" fontId="12" fillId="0" borderId="56" xfId="0" applyFont="1" applyBorder="1"/>
    <xf numFmtId="167" fontId="12" fillId="0" borderId="0" xfId="0" applyNumberFormat="1" applyFont="1" applyAlignment="1">
      <alignment horizontal="right"/>
    </xf>
    <xf numFmtId="0" fontId="12" fillId="3" borderId="26" xfId="0" applyFont="1" applyFill="1" applyBorder="1" applyProtection="1">
      <protection locked="0"/>
    </xf>
    <xf numFmtId="0" fontId="12" fillId="0" borderId="57" xfId="0" applyFont="1" applyBorder="1" applyAlignment="1">
      <alignment horizontal="left" vertical="center"/>
    </xf>
    <xf numFmtId="0" fontId="12" fillId="0" borderId="59" xfId="0" applyFont="1" applyBorder="1" applyAlignment="1">
      <alignment horizontal="left" vertical="center"/>
    </xf>
    <xf numFmtId="0" fontId="14" fillId="0" borderId="59" xfId="0" applyFont="1" applyBorder="1" applyAlignment="1">
      <alignment vertical="center"/>
    </xf>
    <xf numFmtId="0" fontId="12" fillId="0" borderId="58" xfId="0" applyFont="1" applyBorder="1" applyAlignment="1">
      <alignment vertical="center"/>
    </xf>
    <xf numFmtId="0" fontId="12" fillId="0" borderId="58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2" fillId="0" borderId="56" xfId="0" applyFont="1" applyBorder="1" applyAlignment="1">
      <alignment vertical="center"/>
    </xf>
    <xf numFmtId="0" fontId="12" fillId="0" borderId="56" xfId="0" applyFont="1" applyBorder="1" applyAlignment="1">
      <alignment horizontal="left" vertical="center"/>
    </xf>
    <xf numFmtId="166" fontId="12" fillId="0" borderId="0" xfId="0" applyNumberFormat="1" applyFont="1" applyAlignment="1">
      <alignment horizontal="center"/>
    </xf>
    <xf numFmtId="14" fontId="16" fillId="5" borderId="0" xfId="0" applyNumberFormat="1" applyFont="1" applyFill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0" fontId="13" fillId="0" borderId="0" xfId="0" applyNumberFormat="1" applyFont="1"/>
    <xf numFmtId="0" fontId="14" fillId="0" borderId="57" xfId="0" applyFont="1" applyBorder="1" applyAlignment="1" applyProtection="1">
      <alignment vertical="center"/>
      <protection locked="0"/>
    </xf>
    <xf numFmtId="0" fontId="13" fillId="0" borderId="28" xfId="0" applyFont="1" applyBorder="1" applyAlignment="1">
      <alignment horizontal="center" vertical="center" wrapText="1"/>
    </xf>
    <xf numFmtId="0" fontId="19" fillId="0" borderId="0" xfId="0" applyFont="1"/>
    <xf numFmtId="0" fontId="14" fillId="0" borderId="37" xfId="0" applyFont="1" applyBorder="1" applyAlignment="1">
      <alignment vertical="center"/>
    </xf>
    <xf numFmtId="165" fontId="12" fillId="0" borderId="0" xfId="0" applyNumberFormat="1" applyFont="1" applyAlignment="1">
      <alignment horizontal="left"/>
    </xf>
    <xf numFmtId="2" fontId="12" fillId="0" borderId="0" xfId="0" applyNumberFormat="1" applyFont="1"/>
    <xf numFmtId="0" fontId="14" fillId="0" borderId="26" xfId="0" applyFont="1" applyBorder="1" applyAlignment="1">
      <alignment vertical="center"/>
    </xf>
    <xf numFmtId="0" fontId="27" fillId="0" borderId="57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4" fillId="0" borderId="56" xfId="0" applyFont="1" applyBorder="1" applyAlignment="1">
      <alignment vertical="center"/>
    </xf>
    <xf numFmtId="10" fontId="12" fillId="0" borderId="0" xfId="0" applyNumberFormat="1" applyFont="1"/>
    <xf numFmtId="0" fontId="28" fillId="0" borderId="11" xfId="0" applyFont="1" applyBorder="1"/>
    <xf numFmtId="4" fontId="28" fillId="0" borderId="0" xfId="0" applyNumberFormat="1" applyFont="1"/>
    <xf numFmtId="0" fontId="28" fillId="3" borderId="13" xfId="0" applyFont="1" applyFill="1" applyBorder="1"/>
    <xf numFmtId="4" fontId="29" fillId="3" borderId="15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 vertical="center"/>
    </xf>
    <xf numFmtId="4" fontId="2" fillId="0" borderId="3" xfId="0" applyNumberFormat="1" applyFont="1" applyBorder="1" applyAlignment="1">
      <alignment horizontal="center"/>
    </xf>
    <xf numFmtId="0" fontId="5" fillId="0" borderId="0" xfId="0" applyFont="1"/>
    <xf numFmtId="0" fontId="5" fillId="0" borderId="12" xfId="0" applyFont="1" applyBorder="1"/>
    <xf numFmtId="0" fontId="5" fillId="0" borderId="11" xfId="0" applyFont="1" applyBorder="1"/>
    <xf numFmtId="1" fontId="12" fillId="0" borderId="0" xfId="0" applyNumberFormat="1" applyFont="1"/>
    <xf numFmtId="1" fontId="13" fillId="0" borderId="0" xfId="0" applyNumberFormat="1" applyFont="1"/>
    <xf numFmtId="0" fontId="12" fillId="0" borderId="0" xfId="0" applyFont="1" applyProtection="1">
      <protection hidden="1"/>
    </xf>
    <xf numFmtId="0" fontId="12" fillId="0" borderId="56" xfId="0" applyFont="1" applyBorder="1" applyProtection="1">
      <protection hidden="1"/>
    </xf>
    <xf numFmtId="0" fontId="14" fillId="0" borderId="59" xfId="0" applyFont="1" applyBorder="1" applyAlignment="1" applyProtection="1">
      <alignment vertical="center"/>
      <protection hidden="1"/>
    </xf>
    <xf numFmtId="0" fontId="12" fillId="0" borderId="59" xfId="0" applyFont="1" applyBorder="1" applyAlignment="1" applyProtection="1">
      <alignment vertical="center"/>
      <protection hidden="1"/>
    </xf>
    <xf numFmtId="1" fontId="12" fillId="6" borderId="57" xfId="0" applyNumberFormat="1" applyFont="1" applyFill="1" applyBorder="1" applyAlignment="1" applyProtection="1">
      <alignment horizontal="right" vertical="center"/>
      <protection hidden="1"/>
    </xf>
    <xf numFmtId="3" fontId="19" fillId="0" borderId="57" xfId="0" applyNumberFormat="1" applyFont="1" applyBorder="1" applyAlignment="1" applyProtection="1">
      <alignment horizontal="left" vertical="center"/>
      <protection hidden="1"/>
    </xf>
    <xf numFmtId="0" fontId="12" fillId="0" borderId="57" xfId="0" applyFont="1" applyBorder="1" applyAlignment="1" applyProtection="1">
      <alignment horizontal="left" vertical="center"/>
      <protection hidden="1"/>
    </xf>
    <xf numFmtId="0" fontId="12" fillId="0" borderId="56" xfId="0" applyFont="1" applyBorder="1" applyAlignment="1" applyProtection="1">
      <alignment horizontal="left" vertical="center"/>
      <protection hidden="1"/>
    </xf>
    <xf numFmtId="0" fontId="12" fillId="0" borderId="56" xfId="0" applyFont="1" applyBorder="1" applyAlignment="1" applyProtection="1">
      <alignment vertical="center"/>
      <protection hidden="1"/>
    </xf>
    <xf numFmtId="0" fontId="12" fillId="0" borderId="59" xfId="0" applyFont="1" applyBorder="1" applyAlignment="1" applyProtection="1">
      <alignment horizontal="right" vertical="center"/>
      <protection hidden="1"/>
    </xf>
    <xf numFmtId="167" fontId="12" fillId="0" borderId="59" xfId="0" applyNumberFormat="1" applyFont="1" applyBorder="1" applyAlignment="1" applyProtection="1">
      <alignment horizontal="right" vertical="center"/>
      <protection hidden="1"/>
    </xf>
    <xf numFmtId="0" fontId="12" fillId="0" borderId="57" xfId="0" applyFont="1" applyBorder="1" applyAlignment="1" applyProtection="1">
      <alignment vertical="center"/>
      <protection hidden="1"/>
    </xf>
    <xf numFmtId="167" fontId="12" fillId="0" borderId="56" xfId="0" applyNumberFormat="1" applyFont="1" applyBorder="1" applyAlignment="1" applyProtection="1">
      <alignment horizontal="right" vertical="center"/>
      <protection hidden="1"/>
    </xf>
    <xf numFmtId="0" fontId="14" fillId="0" borderId="0" xfId="0" applyFont="1" applyProtection="1">
      <protection hidden="1"/>
    </xf>
    <xf numFmtId="0" fontId="14" fillId="0" borderId="56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167" fontId="12" fillId="6" borderId="57" xfId="0" applyNumberFormat="1" applyFont="1" applyFill="1" applyBorder="1" applyAlignment="1" applyProtection="1">
      <alignment horizontal="center" vertical="center"/>
      <protection hidden="1"/>
    </xf>
    <xf numFmtId="167" fontId="12" fillId="6" borderId="57" xfId="0" applyNumberFormat="1" applyFont="1" applyFill="1" applyBorder="1" applyAlignment="1" applyProtection="1">
      <alignment vertical="center"/>
      <protection hidden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2" fontId="13" fillId="0" borderId="22" xfId="0" applyNumberFormat="1" applyFont="1" applyBorder="1" applyAlignment="1">
      <alignment horizontal="center" vertical="center" wrapText="1"/>
    </xf>
    <xf numFmtId="2" fontId="13" fillId="0" borderId="23" xfId="0" applyNumberFormat="1" applyFont="1" applyBorder="1" applyAlignment="1">
      <alignment horizontal="center" vertical="center" wrapText="1"/>
    </xf>
    <xf numFmtId="2" fontId="13" fillId="0" borderId="20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2" fillId="3" borderId="61" xfId="0" applyFont="1" applyFill="1" applyBorder="1" applyAlignment="1" applyProtection="1">
      <alignment horizontal="center" vertical="center"/>
      <protection locked="0" hidden="1"/>
    </xf>
    <xf numFmtId="0" fontId="22" fillId="8" borderId="56" xfId="0" applyFont="1" applyFill="1" applyBorder="1" applyAlignment="1">
      <alignment horizontal="center" vertical="center"/>
    </xf>
    <xf numFmtId="0" fontId="14" fillId="0" borderId="5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57" xfId="0" applyFont="1" applyBorder="1" applyAlignment="1">
      <alignment horizontal="left" vertical="center"/>
    </xf>
    <xf numFmtId="0" fontId="14" fillId="0" borderId="58" xfId="0" applyFont="1" applyBorder="1" applyAlignment="1">
      <alignment horizontal="left" vertical="center"/>
    </xf>
    <xf numFmtId="0" fontId="12" fillId="3" borderId="57" xfId="0" applyFont="1" applyFill="1" applyBorder="1" applyAlignment="1" applyProtection="1">
      <alignment horizontal="center" vertical="center"/>
      <protection locked="0" hidden="1"/>
    </xf>
    <xf numFmtId="0" fontId="12" fillId="7" borderId="57" xfId="0" applyFont="1" applyFill="1" applyBorder="1" applyAlignment="1" applyProtection="1">
      <alignment horizontal="center" vertical="center"/>
      <protection locked="0" hidden="1"/>
    </xf>
    <xf numFmtId="0" fontId="12" fillId="6" borderId="57" xfId="0" applyFont="1" applyFill="1" applyBorder="1" applyAlignment="1" applyProtection="1">
      <alignment horizontal="center" vertical="center"/>
      <protection hidden="1"/>
    </xf>
    <xf numFmtId="1" fontId="12" fillId="6" borderId="57" xfId="0" applyNumberFormat="1" applyFont="1" applyFill="1" applyBorder="1" applyAlignment="1" applyProtection="1">
      <alignment horizontal="center" vertical="center"/>
      <protection hidden="1"/>
    </xf>
    <xf numFmtId="14" fontId="12" fillId="3" borderId="57" xfId="0" applyNumberFormat="1" applyFont="1" applyFill="1" applyBorder="1" applyAlignment="1" applyProtection="1">
      <alignment horizontal="center" vertical="center"/>
      <protection locked="0" hidden="1"/>
    </xf>
    <xf numFmtId="171" fontId="12" fillId="3" borderId="57" xfId="0" applyNumberFormat="1" applyFont="1" applyFill="1" applyBorder="1" applyAlignment="1" applyProtection="1">
      <alignment horizontal="center" vertical="center"/>
      <protection locked="0" hidden="1"/>
    </xf>
    <xf numFmtId="0" fontId="13" fillId="0" borderId="4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5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3" fillId="0" borderId="16" xfId="0" applyNumberFormat="1" applyFont="1" applyBorder="1" applyAlignment="1">
      <alignment horizontal="center" vertical="center" wrapText="1"/>
    </xf>
    <xf numFmtId="169" fontId="14" fillId="6" borderId="60" xfId="0" applyNumberFormat="1" applyFont="1" applyFill="1" applyBorder="1" applyAlignment="1" applyProtection="1">
      <alignment horizontal="center" vertical="center"/>
      <protection hidden="1"/>
    </xf>
    <xf numFmtId="0" fontId="12" fillId="7" borderId="60" xfId="0" applyFont="1" applyFill="1" applyBorder="1" applyAlignment="1" applyProtection="1">
      <alignment horizontal="center" vertical="center"/>
      <protection locked="0" hidden="1"/>
    </xf>
    <xf numFmtId="0" fontId="14" fillId="6" borderId="60" xfId="0" applyFont="1" applyFill="1" applyBorder="1" applyAlignment="1" applyProtection="1">
      <alignment horizontal="center" vertical="center"/>
      <protection hidden="1"/>
    </xf>
    <xf numFmtId="172" fontId="12" fillId="6" borderId="57" xfId="0" applyNumberFormat="1" applyFont="1" applyFill="1" applyBorder="1" applyAlignment="1" applyProtection="1">
      <alignment horizontal="center" vertical="center"/>
      <protection hidden="1"/>
    </xf>
    <xf numFmtId="0" fontId="14" fillId="0" borderId="61" xfId="0" applyFont="1" applyBorder="1" applyAlignment="1" applyProtection="1">
      <alignment horizontal="center"/>
      <protection hidden="1"/>
    </xf>
    <xf numFmtId="170" fontId="12" fillId="3" borderId="57" xfId="0" applyNumberFormat="1" applyFont="1" applyFill="1" applyBorder="1" applyAlignment="1" applyProtection="1">
      <alignment horizontal="center" vertical="center"/>
      <protection locked="0" hidden="1"/>
    </xf>
    <xf numFmtId="0" fontId="14" fillId="0" borderId="57" xfId="0" applyFont="1" applyBorder="1" applyAlignment="1" applyProtection="1">
      <alignment horizontal="center" vertical="center"/>
      <protection locked="0" hidden="1"/>
    </xf>
    <xf numFmtId="0" fontId="14" fillId="0" borderId="60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62" xfId="0" applyFont="1" applyBorder="1" applyAlignment="1" applyProtection="1">
      <alignment horizontal="center"/>
      <protection hidden="1"/>
    </xf>
    <xf numFmtId="167" fontId="12" fillId="3" borderId="57" xfId="0" applyNumberFormat="1" applyFont="1" applyFill="1" applyBorder="1" applyAlignment="1" applyProtection="1">
      <alignment horizontal="center" vertical="center"/>
      <protection locked="0" hidden="1"/>
    </xf>
    <xf numFmtId="167" fontId="12" fillId="6" borderId="57" xfId="0" applyNumberFormat="1" applyFont="1" applyFill="1" applyBorder="1" applyAlignment="1" applyProtection="1">
      <alignment horizontal="center" vertical="center"/>
      <protection hidden="1"/>
    </xf>
    <xf numFmtId="167" fontId="14" fillId="6" borderId="60" xfId="0" applyNumberFormat="1" applyFont="1" applyFill="1" applyBorder="1" applyAlignment="1" applyProtection="1">
      <alignment horizontal="center" vertical="center"/>
      <protection hidden="1"/>
    </xf>
    <xf numFmtId="0" fontId="12" fillId="3" borderId="63" xfId="0" applyFont="1" applyFill="1" applyBorder="1" applyAlignment="1" applyProtection="1">
      <alignment horizontal="center"/>
      <protection hidden="1"/>
    </xf>
    <xf numFmtId="0" fontId="12" fillId="3" borderId="62" xfId="0" applyFont="1" applyFill="1" applyBorder="1" applyAlignment="1" applyProtection="1">
      <alignment horizontal="center"/>
      <protection hidden="1"/>
    </xf>
    <xf numFmtId="167" fontId="12" fillId="6" borderId="57" xfId="0" applyNumberFormat="1" applyFont="1" applyFill="1" applyBorder="1" applyAlignment="1" applyProtection="1">
      <alignment horizontal="center" vertical="center" wrapText="1"/>
      <protection hidden="1"/>
    </xf>
    <xf numFmtId="167" fontId="14" fillId="3" borderId="57" xfId="0" applyNumberFormat="1" applyFont="1" applyFill="1" applyBorder="1" applyAlignment="1" applyProtection="1">
      <alignment horizontal="center" vertical="center"/>
      <protection locked="0" hidden="1"/>
    </xf>
    <xf numFmtId="167" fontId="14" fillId="6" borderId="56" xfId="0" applyNumberFormat="1" applyFont="1" applyFill="1" applyBorder="1" applyAlignment="1" applyProtection="1">
      <alignment horizontal="center" vertical="center"/>
      <protection hidden="1"/>
    </xf>
    <xf numFmtId="0" fontId="0" fillId="0" borderId="31" xfId="0" applyBorder="1" applyAlignment="1">
      <alignment horizontal="left"/>
    </xf>
    <xf numFmtId="0" fontId="0" fillId="0" borderId="49" xfId="0" applyBorder="1" applyAlignment="1">
      <alignment horizontal="left"/>
    </xf>
    <xf numFmtId="166" fontId="6" fillId="3" borderId="4" xfId="0" applyNumberFormat="1" applyFont="1" applyFill="1" applyBorder="1" applyAlignment="1">
      <alignment horizontal="center"/>
    </xf>
    <xf numFmtId="166" fontId="6" fillId="3" borderId="5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50" xfId="0" applyBorder="1" applyAlignment="1">
      <alignment horizontal="left"/>
    </xf>
    <xf numFmtId="0" fontId="0" fillId="0" borderId="52" xfId="0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4" fontId="0" fillId="0" borderId="38" xfId="0" applyNumberFormat="1" applyBorder="1" applyAlignment="1">
      <alignment horizontal="center"/>
    </xf>
    <xf numFmtId="4" fontId="0" fillId="0" borderId="39" xfId="0" applyNumberFormat="1" applyBorder="1" applyAlignment="1">
      <alignment horizontal="center"/>
    </xf>
    <xf numFmtId="4" fontId="0" fillId="0" borderId="40" xfId="0" applyNumberFormat="1" applyBorder="1" applyAlignment="1">
      <alignment horizontal="center"/>
    </xf>
    <xf numFmtId="4" fontId="0" fillId="0" borderId="45" xfId="0" applyNumberFormat="1" applyBorder="1" applyAlignment="1">
      <alignment horizontal="center"/>
    </xf>
    <xf numFmtId="0" fontId="0" fillId="0" borderId="4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0" borderId="30" xfId="0" applyFont="1" applyBorder="1" applyAlignment="1">
      <alignment horizontal="left"/>
    </xf>
    <xf numFmtId="0" fontId="0" fillId="0" borderId="51" xfId="0" applyBorder="1" applyAlignment="1">
      <alignment horizontal="left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5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FFCC"/>
      <color rgb="FF0000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1125682</xdr:colOff>
      <xdr:row>2</xdr:row>
      <xdr:rowOff>43293</xdr:rowOff>
    </xdr:from>
    <xdr:to>
      <xdr:col>2</xdr:col>
      <xdr:colOff>2952751</xdr:colOff>
      <xdr:row>3</xdr:row>
      <xdr:rowOff>113452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57796" y="467588"/>
          <a:ext cx="1827069" cy="252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/>
            <a:t>Seleção Obrigatória</a:t>
          </a:r>
        </a:p>
      </xdr:txBody>
    </xdr:sp>
    <xdr:clientData/>
  </xdr:twoCellAnchor>
  <xdr:twoCellAnchor>
    <xdr:from>
      <xdr:col>2</xdr:col>
      <xdr:colOff>2987385</xdr:colOff>
      <xdr:row>2</xdr:row>
      <xdr:rowOff>43296</xdr:rowOff>
    </xdr:from>
    <xdr:to>
      <xdr:col>2</xdr:col>
      <xdr:colOff>4814454</xdr:colOff>
      <xdr:row>3</xdr:row>
      <xdr:rowOff>113455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19499" y="467591"/>
          <a:ext cx="1827069" cy="25200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/>
            <a:t>Preenchimento Obrigatório</a:t>
          </a:r>
        </a:p>
      </xdr:txBody>
    </xdr:sp>
    <xdr:clientData/>
  </xdr:twoCellAnchor>
  <xdr:twoCellAnchor>
    <xdr:from>
      <xdr:col>2</xdr:col>
      <xdr:colOff>4857749</xdr:colOff>
      <xdr:row>2</xdr:row>
      <xdr:rowOff>34636</xdr:rowOff>
    </xdr:from>
    <xdr:to>
      <xdr:col>3</xdr:col>
      <xdr:colOff>207818</xdr:colOff>
      <xdr:row>3</xdr:row>
      <xdr:rowOff>104795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489863" y="458931"/>
          <a:ext cx="1827069" cy="2520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/>
            <a:t>Preenchimento Automático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B1:AB336"/>
  <sheetViews>
    <sheetView showGridLines="0" tabSelected="1" topLeftCell="C45" zoomScale="106" zoomScaleNormal="106" zoomScaleSheetLayoutView="85" workbookViewId="0">
      <selection activeCell="D15" sqref="D15:G16"/>
    </sheetView>
  </sheetViews>
  <sheetFormatPr defaultColWidth="9.1796875" defaultRowHeight="12" customHeight="1" x14ac:dyDescent="0.3"/>
  <cols>
    <col min="1" max="1" width="3.54296875" style="53" customWidth="1"/>
    <col min="2" max="2" width="5.81640625" style="53" customWidth="1"/>
    <col min="3" max="3" width="100.1796875" style="53" customWidth="1"/>
    <col min="4" max="7" width="12.6328125" style="153" customWidth="1"/>
    <col min="8" max="8" width="14.7265625" style="53" customWidth="1"/>
    <col min="9" max="9" width="3.453125" style="54" hidden="1" customWidth="1"/>
    <col min="10" max="10" width="30.7265625" style="54" hidden="1" customWidth="1"/>
    <col min="11" max="11" width="8" style="54" hidden="1" customWidth="1"/>
    <col min="12" max="12" width="8.81640625" style="54" hidden="1" customWidth="1"/>
    <col min="13" max="13" width="12.453125" style="55" hidden="1" customWidth="1"/>
    <col min="14" max="14" width="12.81640625" style="54" hidden="1" customWidth="1"/>
    <col min="15" max="15" width="29.26953125" style="56" hidden="1" customWidth="1"/>
    <col min="16" max="16" width="10.7265625" style="54" hidden="1" customWidth="1"/>
    <col min="17" max="17" width="6.7265625" style="54" hidden="1" customWidth="1"/>
    <col min="18" max="18" width="3.1796875" style="54" hidden="1" customWidth="1"/>
    <col min="19" max="19" width="10.81640625" style="54" hidden="1" customWidth="1"/>
    <col min="20" max="20" width="3.1796875" style="54" customWidth="1"/>
    <col min="21" max="22" width="9.1796875" style="54" customWidth="1"/>
    <col min="23" max="24" width="9.1796875" style="53" customWidth="1"/>
    <col min="25" max="26" width="10.54296875" style="53" customWidth="1"/>
    <col min="27" max="27" width="9.1796875" style="53" customWidth="1"/>
    <col min="28" max="29" width="9.1796875" style="53"/>
    <col min="30" max="30" width="10.7265625" style="53" customWidth="1"/>
    <col min="31" max="16384" width="9.1796875" style="53"/>
  </cols>
  <sheetData>
    <row r="1" spans="2:26" ht="13" x14ac:dyDescent="0.3">
      <c r="C1" s="133" t="s">
        <v>0</v>
      </c>
    </row>
    <row r="2" spans="2:26" s="126" customFormat="1" ht="23.5" x14ac:dyDescent="0.25">
      <c r="B2" s="184" t="s">
        <v>1</v>
      </c>
      <c r="C2" s="184"/>
      <c r="D2" s="184"/>
      <c r="E2" s="184"/>
      <c r="F2" s="184"/>
      <c r="G2" s="184"/>
      <c r="H2" s="127"/>
      <c r="I2" s="128"/>
      <c r="J2" s="129"/>
      <c r="K2" s="129"/>
      <c r="L2" s="182"/>
      <c r="M2" s="182"/>
      <c r="N2" s="182"/>
      <c r="O2" s="182"/>
      <c r="P2" s="182"/>
      <c r="Q2" s="182"/>
      <c r="R2" s="129"/>
      <c r="S2" s="129"/>
      <c r="T2" s="129"/>
      <c r="U2" s="129"/>
      <c r="V2" s="129"/>
    </row>
    <row r="3" spans="2:26" ht="14.25" customHeight="1" x14ac:dyDescent="0.45">
      <c r="B3" s="186" t="s">
        <v>2</v>
      </c>
      <c r="C3" s="186"/>
      <c r="D3" s="186"/>
      <c r="E3" s="186"/>
      <c r="F3" s="186"/>
      <c r="G3" s="186"/>
      <c r="H3" s="106"/>
      <c r="I3" s="57"/>
      <c r="L3" s="64"/>
      <c r="M3" s="64"/>
      <c r="N3" s="64"/>
      <c r="O3" s="64"/>
      <c r="P3" s="64"/>
      <c r="Q3" s="64"/>
    </row>
    <row r="4" spans="2:26" ht="12.75" customHeight="1" x14ac:dyDescent="0.3">
      <c r="B4" s="186"/>
      <c r="C4" s="186"/>
      <c r="D4" s="186"/>
      <c r="E4" s="186"/>
      <c r="F4" s="186"/>
      <c r="G4" s="186"/>
      <c r="I4" s="57"/>
    </row>
    <row r="5" spans="2:26" ht="8.15" customHeight="1" x14ac:dyDescent="0.3">
      <c r="B5" s="110"/>
      <c r="C5" s="110"/>
      <c r="D5" s="154"/>
      <c r="E5" s="154"/>
      <c r="F5" s="154"/>
      <c r="G5" s="154"/>
      <c r="H5" s="105"/>
      <c r="I5" s="57"/>
      <c r="M5" s="20" t="s">
        <v>3</v>
      </c>
    </row>
    <row r="6" spans="2:26" ht="15" customHeight="1" x14ac:dyDescent="0.3">
      <c r="B6" s="185" t="s">
        <v>4</v>
      </c>
      <c r="C6" s="185"/>
      <c r="D6" s="183"/>
      <c r="E6" s="183"/>
      <c r="F6" s="183"/>
      <c r="G6" s="183"/>
      <c r="I6" s="57"/>
      <c r="M6" s="20" t="s">
        <v>5</v>
      </c>
    </row>
    <row r="7" spans="2:26" ht="15" customHeight="1" x14ac:dyDescent="0.3">
      <c r="B7" s="187" t="s">
        <v>6</v>
      </c>
      <c r="C7" s="187"/>
      <c r="D7" s="194"/>
      <c r="E7" s="194"/>
      <c r="F7" s="194"/>
      <c r="G7" s="194"/>
      <c r="I7" s="57"/>
      <c r="M7" s="20"/>
    </row>
    <row r="8" spans="2:26" ht="15" customHeight="1" x14ac:dyDescent="0.3">
      <c r="B8" s="187" t="s">
        <v>7</v>
      </c>
      <c r="C8" s="187"/>
      <c r="D8" s="189"/>
      <c r="E8" s="189"/>
      <c r="F8" s="189"/>
      <c r="G8" s="189"/>
      <c r="I8" s="58"/>
      <c r="M8" s="20" t="s">
        <v>8</v>
      </c>
    </row>
    <row r="9" spans="2:26" ht="15" customHeight="1" x14ac:dyDescent="0.3">
      <c r="B9" s="188" t="s">
        <v>9</v>
      </c>
      <c r="C9" s="188"/>
      <c r="D9" s="208">
        <v>45870</v>
      </c>
      <c r="E9" s="208"/>
      <c r="F9" s="208"/>
      <c r="G9" s="208"/>
      <c r="I9" s="59"/>
      <c r="M9" s="20" t="s">
        <v>10</v>
      </c>
    </row>
    <row r="10" spans="2:26" ht="8.15" customHeight="1" x14ac:dyDescent="0.3">
      <c r="B10" s="110"/>
      <c r="C10" s="110"/>
      <c r="D10" s="154"/>
      <c r="E10" s="154"/>
      <c r="F10" s="154"/>
      <c r="G10" s="154"/>
      <c r="J10" s="20"/>
      <c r="M10" s="20" t="s">
        <v>11</v>
      </c>
    </row>
    <row r="11" spans="2:26" ht="15" customHeight="1" x14ac:dyDescent="0.3">
      <c r="B11" s="114" t="s">
        <v>12</v>
      </c>
      <c r="C11" s="115" t="s">
        <v>13</v>
      </c>
      <c r="D11" s="155"/>
      <c r="E11" s="155"/>
      <c r="F11" s="155"/>
      <c r="G11" s="156"/>
      <c r="M11" s="20" t="s">
        <v>14</v>
      </c>
    </row>
    <row r="12" spans="2:26" ht="15" customHeight="1" x14ac:dyDescent="0.3">
      <c r="B12" s="113" t="s">
        <v>15</v>
      </c>
      <c r="C12" s="108" t="s">
        <v>16</v>
      </c>
      <c r="D12" s="189"/>
      <c r="E12" s="189"/>
      <c r="F12" s="189"/>
      <c r="G12" s="189"/>
      <c r="I12" s="55"/>
      <c r="M12" s="20" t="s">
        <v>17</v>
      </c>
      <c r="Y12" s="60"/>
    </row>
    <row r="13" spans="2:26" ht="15" customHeight="1" x14ac:dyDescent="0.3">
      <c r="B13" s="113" t="s">
        <v>18</v>
      </c>
      <c r="C13" s="108" t="s">
        <v>19</v>
      </c>
      <c r="D13" s="189"/>
      <c r="E13" s="189"/>
      <c r="F13" s="189"/>
      <c r="G13" s="189"/>
      <c r="I13" s="55"/>
      <c r="M13" s="20"/>
      <c r="Y13" s="60"/>
    </row>
    <row r="14" spans="2:26" ht="15" customHeight="1" x14ac:dyDescent="0.3">
      <c r="B14" s="113" t="s">
        <v>20</v>
      </c>
      <c r="C14" s="108" t="s">
        <v>21</v>
      </c>
      <c r="D14" s="190"/>
      <c r="E14" s="190"/>
      <c r="F14" s="190"/>
      <c r="G14" s="190"/>
      <c r="I14" s="55"/>
      <c r="W14" s="61"/>
      <c r="X14" s="61"/>
      <c r="Y14" s="60"/>
      <c r="Z14" s="62"/>
    </row>
    <row r="15" spans="2:26" ht="15" customHeight="1" x14ac:dyDescent="0.3">
      <c r="B15" s="113" t="s">
        <v>23</v>
      </c>
      <c r="C15" s="108" t="s">
        <v>24</v>
      </c>
      <c r="D15" s="193"/>
      <c r="E15" s="193"/>
      <c r="F15" s="193"/>
      <c r="G15" s="193"/>
      <c r="I15" s="55"/>
      <c r="W15" s="61"/>
      <c r="X15" s="61"/>
      <c r="Y15" s="60"/>
    </row>
    <row r="16" spans="2:26" ht="15" customHeight="1" x14ac:dyDescent="0.3">
      <c r="B16" s="113" t="s">
        <v>25</v>
      </c>
      <c r="C16" s="108" t="s">
        <v>26</v>
      </c>
      <c r="D16" s="193"/>
      <c r="E16" s="193"/>
      <c r="F16" s="193"/>
      <c r="G16" s="193"/>
      <c r="H16" s="121"/>
      <c r="I16" s="55"/>
      <c r="W16" s="61"/>
      <c r="X16" s="61"/>
      <c r="Y16" s="60"/>
    </row>
    <row r="17" spans="2:26" ht="15" customHeight="1" x14ac:dyDescent="0.3">
      <c r="B17" s="113" t="s">
        <v>27</v>
      </c>
      <c r="C17" s="108" t="s">
        <v>28</v>
      </c>
      <c r="D17" s="191" t="str">
        <f>IF(OR(D15="",D16=""),"",NETWORKDAYS.INTL(D15,D16,,M109:M192))</f>
        <v/>
      </c>
      <c r="E17" s="191"/>
      <c r="F17" s="191"/>
      <c r="G17" s="191"/>
      <c r="I17" s="55"/>
      <c r="W17" s="61"/>
      <c r="X17" s="61"/>
      <c r="Y17" s="60"/>
      <c r="Z17" s="62"/>
    </row>
    <row r="18" spans="2:26" ht="15" customHeight="1" x14ac:dyDescent="0.3">
      <c r="B18" s="113" t="s">
        <v>29</v>
      </c>
      <c r="C18" s="108" t="s">
        <v>30</v>
      </c>
      <c r="D18" s="192" t="str">
        <f>IF(OR(D15="",D16=""),"",D16-D15-D17+1)</f>
        <v/>
      </c>
      <c r="E18" s="192"/>
      <c r="F18" s="192"/>
      <c r="G18" s="192"/>
      <c r="H18" s="64"/>
      <c r="I18" s="55"/>
      <c r="W18" s="61"/>
      <c r="X18" s="61"/>
      <c r="Y18" s="60"/>
      <c r="Z18" s="62"/>
    </row>
    <row r="19" spans="2:26" ht="15" customHeight="1" x14ac:dyDescent="0.3">
      <c r="B19" s="113" t="s">
        <v>31</v>
      </c>
      <c r="C19" s="108" t="s">
        <v>32</v>
      </c>
      <c r="D19" s="189"/>
      <c r="E19" s="189"/>
      <c r="F19" s="189"/>
      <c r="G19" s="189"/>
      <c r="H19" s="64"/>
      <c r="I19" s="55"/>
      <c r="W19" s="61"/>
      <c r="X19" s="61"/>
      <c r="Y19" s="60"/>
      <c r="Z19" s="62"/>
    </row>
    <row r="20" spans="2:26" ht="15" customHeight="1" x14ac:dyDescent="0.3">
      <c r="B20" s="113" t="s">
        <v>33</v>
      </c>
      <c r="C20" s="108" t="s">
        <v>34</v>
      </c>
      <c r="D20" s="190"/>
      <c r="E20" s="190"/>
      <c r="F20" s="190"/>
      <c r="G20" s="190"/>
      <c r="I20" s="63"/>
      <c r="W20" s="61"/>
      <c r="X20" s="61"/>
      <c r="Y20" s="60"/>
      <c r="Z20" s="62"/>
    </row>
    <row r="21" spans="2:26" ht="15" customHeight="1" x14ac:dyDescent="0.3">
      <c r="B21" s="113" t="s">
        <v>36</v>
      </c>
      <c r="C21" s="108" t="s">
        <v>37</v>
      </c>
      <c r="D21" s="190"/>
      <c r="E21" s="190"/>
      <c r="F21" s="190"/>
      <c r="G21" s="190"/>
      <c r="I21" s="63"/>
      <c r="W21" s="61"/>
      <c r="X21" s="61"/>
      <c r="Y21" s="60"/>
      <c r="Z21" s="62"/>
    </row>
    <row r="22" spans="2:26" ht="15" customHeight="1" x14ac:dyDescent="0.3">
      <c r="B22" s="113" t="s">
        <v>39</v>
      </c>
      <c r="C22" s="108" t="s">
        <v>40</v>
      </c>
      <c r="D22" s="190"/>
      <c r="E22" s="190"/>
      <c r="F22" s="190"/>
      <c r="G22" s="190"/>
      <c r="I22" s="63"/>
      <c r="W22" s="61"/>
      <c r="X22" s="61"/>
      <c r="Y22" s="60"/>
      <c r="Z22" s="62"/>
    </row>
    <row r="23" spans="2:26" ht="15" customHeight="1" x14ac:dyDescent="0.3">
      <c r="B23" s="113" t="s">
        <v>42</v>
      </c>
      <c r="C23" s="108" t="s">
        <v>43</v>
      </c>
      <c r="D23" s="191" t="str">
        <f>IFERROR(IF(D22="Avião","Não se aplica",2*VLOOKUP(D21,J82:P102,4,FALSE)),"")</f>
        <v/>
      </c>
      <c r="E23" s="191"/>
      <c r="F23" s="191"/>
      <c r="G23" s="191"/>
      <c r="I23" s="63"/>
      <c r="W23" s="61"/>
      <c r="X23" s="61"/>
      <c r="Y23" s="60"/>
      <c r="Z23" s="62"/>
    </row>
    <row r="24" spans="2:26" ht="15" customHeight="1" x14ac:dyDescent="0.3">
      <c r="B24" s="113" t="s">
        <v>44</v>
      </c>
      <c r="C24" s="108" t="s">
        <v>45</v>
      </c>
      <c r="D24" s="190"/>
      <c r="E24" s="190"/>
      <c r="F24" s="190"/>
      <c r="G24" s="190"/>
      <c r="I24" s="63"/>
      <c r="W24" s="61"/>
      <c r="X24" s="61"/>
      <c r="Y24" s="60"/>
    </row>
    <row r="25" spans="2:26" ht="15" customHeight="1" x14ac:dyDescent="0.3">
      <c r="B25" s="113" t="s">
        <v>47</v>
      </c>
      <c r="C25" s="108" t="s">
        <v>48</v>
      </c>
      <c r="D25" s="191">
        <f>IFERROR(IF(D24="Atracado",2*VLOOKUP(D21,J82:Q104,2,FALSE),2*VLOOKUP(D21,J82:Q104,3,FALSE)),0)</f>
        <v>0</v>
      </c>
      <c r="E25" s="191"/>
      <c r="F25" s="191"/>
      <c r="G25" s="191"/>
      <c r="I25" s="63"/>
      <c r="W25" s="61"/>
      <c r="X25" s="61"/>
      <c r="Y25" s="60"/>
    </row>
    <row r="26" spans="2:26" ht="15" customHeight="1" x14ac:dyDescent="0.3">
      <c r="B26" s="113" t="s">
        <v>49</v>
      </c>
      <c r="C26" s="108" t="s">
        <v>50</v>
      </c>
      <c r="D26" s="192">
        <f>IFERROR(F38*0.15,"")</f>
        <v>0</v>
      </c>
      <c r="E26" s="192"/>
      <c r="F26" s="192"/>
      <c r="G26" s="192"/>
      <c r="I26" s="105"/>
      <c r="J26" s="53"/>
      <c r="K26" s="53"/>
      <c r="L26" s="53"/>
      <c r="M26" s="64"/>
      <c r="N26" s="53"/>
      <c r="O26" s="136"/>
      <c r="P26" s="53"/>
      <c r="Q26" s="53"/>
      <c r="R26" s="53"/>
      <c r="S26" s="53"/>
      <c r="T26" s="53"/>
      <c r="U26" s="53"/>
      <c r="V26" s="53"/>
      <c r="W26" s="61"/>
      <c r="X26" s="61"/>
      <c r="Y26" s="60"/>
    </row>
    <row r="27" spans="2:26" ht="15" customHeight="1" x14ac:dyDescent="0.3">
      <c r="B27" s="113" t="s">
        <v>51</v>
      </c>
      <c r="C27" s="108" t="s">
        <v>52</v>
      </c>
      <c r="D27" s="190"/>
      <c r="E27" s="190"/>
      <c r="F27" s="190"/>
      <c r="G27" s="190"/>
      <c r="Y27" s="60"/>
      <c r="Z27" s="62"/>
    </row>
    <row r="28" spans="2:26" ht="15" customHeight="1" x14ac:dyDescent="0.3">
      <c r="B28" s="113" t="s">
        <v>54</v>
      </c>
      <c r="C28" s="108" t="s">
        <v>55</v>
      </c>
      <c r="D28" s="190"/>
      <c r="E28" s="190"/>
      <c r="F28" s="190"/>
      <c r="G28" s="190"/>
      <c r="Y28" s="60"/>
    </row>
    <row r="29" spans="2:26" ht="15" customHeight="1" x14ac:dyDescent="0.3">
      <c r="B29" s="146" t="s">
        <v>57</v>
      </c>
      <c r="C29" s="107" t="s">
        <v>58</v>
      </c>
      <c r="D29" s="209"/>
      <c r="E29" s="209"/>
      <c r="F29" s="209"/>
      <c r="G29" s="209"/>
      <c r="Y29" s="60"/>
    </row>
    <row r="30" spans="2:26" ht="8.15" customHeight="1" x14ac:dyDescent="0.3">
      <c r="B30" s="110"/>
      <c r="C30" s="110"/>
      <c r="D30" s="154"/>
      <c r="E30" s="154"/>
      <c r="F30" s="154"/>
      <c r="G30" s="154"/>
    </row>
    <row r="31" spans="2:26" ht="15" customHeight="1" x14ac:dyDescent="0.3">
      <c r="B31" s="115" t="s">
        <v>60</v>
      </c>
      <c r="C31" s="115" t="s">
        <v>61</v>
      </c>
      <c r="D31" s="156"/>
      <c r="E31" s="156"/>
      <c r="F31" s="156"/>
      <c r="G31" s="156"/>
      <c r="I31" s="66"/>
    </row>
    <row r="32" spans="2:26" s="54" customFormat="1" ht="15" customHeight="1" x14ac:dyDescent="0.3">
      <c r="B32" s="109" t="s">
        <v>62</v>
      </c>
      <c r="C32" s="109" t="s">
        <v>63</v>
      </c>
      <c r="D32" s="191" t="s">
        <v>64</v>
      </c>
      <c r="E32" s="191"/>
      <c r="F32" s="218"/>
      <c r="G32" s="218"/>
      <c r="I32" s="66"/>
      <c r="M32" s="55"/>
      <c r="O32" s="56"/>
    </row>
    <row r="33" spans="2:22" ht="15" customHeight="1" x14ac:dyDescent="0.3">
      <c r="B33" s="109" t="s">
        <v>65</v>
      </c>
      <c r="C33" s="109" t="s">
        <v>66</v>
      </c>
      <c r="D33" s="191" t="s">
        <v>67</v>
      </c>
      <c r="E33" s="191"/>
      <c r="F33" s="218"/>
      <c r="G33" s="218"/>
      <c r="I33" s="135"/>
      <c r="J33" s="53"/>
      <c r="K33" s="53"/>
      <c r="L33" s="53"/>
      <c r="M33" s="64"/>
      <c r="N33" s="53"/>
      <c r="O33" s="136"/>
      <c r="P33" s="53"/>
      <c r="Q33" s="53"/>
      <c r="R33" s="53"/>
      <c r="S33" s="53"/>
      <c r="T33" s="53"/>
      <c r="U33" s="53"/>
      <c r="V33" s="53"/>
    </row>
    <row r="34" spans="2:22" ht="15" customHeight="1" x14ac:dyDescent="0.3">
      <c r="B34" s="109" t="s">
        <v>68</v>
      </c>
      <c r="C34" s="109" t="s">
        <v>69</v>
      </c>
      <c r="D34" s="191" t="s">
        <v>67</v>
      </c>
      <c r="E34" s="191"/>
      <c r="F34" s="218"/>
      <c r="G34" s="218"/>
      <c r="I34" s="135"/>
      <c r="J34" s="151"/>
      <c r="K34" s="53"/>
      <c r="L34" s="53"/>
      <c r="M34" s="64"/>
      <c r="N34" s="53"/>
      <c r="O34" s="136"/>
      <c r="P34" s="53"/>
      <c r="Q34" s="53"/>
      <c r="R34" s="53"/>
      <c r="S34" s="53"/>
      <c r="T34" s="53"/>
      <c r="U34" s="53"/>
      <c r="V34" s="53"/>
    </row>
    <row r="35" spans="2:22" ht="15" customHeight="1" x14ac:dyDescent="0.3">
      <c r="B35" s="138" t="s">
        <v>70</v>
      </c>
      <c r="C35" s="138" t="s">
        <v>71</v>
      </c>
      <c r="D35" s="213"/>
      <c r="E35" s="213"/>
      <c r="F35" s="157"/>
      <c r="G35" s="157"/>
      <c r="H35" s="139"/>
      <c r="I35" s="135"/>
      <c r="J35" s="53"/>
      <c r="K35" s="53"/>
      <c r="L35" s="53"/>
      <c r="M35" s="64"/>
      <c r="N35" s="53"/>
      <c r="O35" s="136"/>
      <c r="P35" s="53"/>
      <c r="Q35" s="53"/>
      <c r="R35" s="53"/>
      <c r="S35" s="53"/>
      <c r="T35" s="53"/>
      <c r="U35" s="53"/>
      <c r="V35" s="53"/>
    </row>
    <row r="36" spans="2:22" ht="15" customHeight="1" x14ac:dyDescent="0.3">
      <c r="B36" s="138" t="s">
        <v>72</v>
      </c>
      <c r="C36" s="138" t="s">
        <v>73</v>
      </c>
      <c r="D36" s="157">
        <f>IFERROR(IF(D35&lt;=8,D17*D35,D17*8),0)</f>
        <v>0</v>
      </c>
      <c r="E36" s="157" t="s">
        <v>227</v>
      </c>
      <c r="F36" s="157">
        <f>IF(D35&gt;8,D17*(D35-8),0)</f>
        <v>0</v>
      </c>
      <c r="G36" s="157" t="s">
        <v>228</v>
      </c>
      <c r="I36" s="135"/>
      <c r="J36" s="53"/>
      <c r="K36" s="53"/>
      <c r="L36" s="53"/>
      <c r="M36" s="64"/>
      <c r="N36" s="53"/>
      <c r="O36" s="136"/>
      <c r="P36" s="53"/>
      <c r="Q36" s="53"/>
      <c r="R36" s="53"/>
      <c r="S36" s="53"/>
      <c r="T36" s="53"/>
      <c r="U36" s="53"/>
      <c r="V36" s="53"/>
    </row>
    <row r="37" spans="2:22" ht="15" customHeight="1" x14ac:dyDescent="0.3">
      <c r="B37" s="108" t="s">
        <v>74</v>
      </c>
      <c r="C37" s="138" t="s">
        <v>75</v>
      </c>
      <c r="D37" s="158"/>
      <c r="E37" s="158"/>
      <c r="F37" s="157">
        <f>IFERROR(D35*D18,0)</f>
        <v>0</v>
      </c>
      <c r="G37" s="157" t="s">
        <v>228</v>
      </c>
      <c r="I37" s="66"/>
      <c r="J37" s="152"/>
    </row>
    <row r="38" spans="2:22" ht="15" customHeight="1" x14ac:dyDescent="0.3">
      <c r="B38" s="108" t="s">
        <v>76</v>
      </c>
      <c r="C38" s="138" t="s">
        <v>77</v>
      </c>
      <c r="D38" s="159"/>
      <c r="E38" s="159"/>
      <c r="F38" s="157">
        <f>IFERROR((D17+D18)*D35,0)</f>
        <v>0</v>
      </c>
      <c r="G38" s="157"/>
      <c r="I38" s="66"/>
    </row>
    <row r="39" spans="2:22" s="54" customFormat="1" ht="15" customHeight="1" x14ac:dyDescent="0.3">
      <c r="B39" s="108" t="s">
        <v>78</v>
      </c>
      <c r="C39" s="108" t="s">
        <v>79</v>
      </c>
      <c r="D39" s="191" t="s">
        <v>80</v>
      </c>
      <c r="E39" s="191"/>
      <c r="F39" s="219">
        <f>IF(D29="Valor Fixo (oficina/bordo/bordo&amp;oficina)",0,(D36*F33)+(F36*F34)+(F37*F34))</f>
        <v>0</v>
      </c>
      <c r="G39" s="219"/>
      <c r="I39" s="66"/>
      <c r="M39" s="55"/>
      <c r="O39" s="56"/>
    </row>
    <row r="40" spans="2:22" ht="15" customHeight="1" x14ac:dyDescent="0.3">
      <c r="B40" s="116"/>
      <c r="C40" s="117"/>
      <c r="D40" s="210" t="s">
        <v>81</v>
      </c>
      <c r="E40" s="210"/>
      <c r="F40" s="220">
        <f>IF(D29="Valor Fixo (oficina/bordo/bordo&amp;oficina)",F32,IF(D29="Valor Fixo (oficina) + HS",F32+F39,F39))</f>
        <v>0</v>
      </c>
      <c r="G40" s="220"/>
      <c r="I40" s="66"/>
    </row>
    <row r="41" spans="2:22" ht="8.15" customHeight="1" x14ac:dyDescent="0.3">
      <c r="B41" s="119"/>
      <c r="C41" s="120"/>
      <c r="D41" s="160"/>
      <c r="E41" s="160"/>
      <c r="F41" s="160"/>
      <c r="G41" s="160"/>
      <c r="H41" s="111"/>
      <c r="I41" s="66"/>
    </row>
    <row r="42" spans="2:22" ht="15" customHeight="1" x14ac:dyDescent="0.3">
      <c r="B42" s="134" t="s">
        <v>82</v>
      </c>
      <c r="C42" s="134" t="s">
        <v>83</v>
      </c>
      <c r="I42" s="135"/>
      <c r="J42" s="53"/>
      <c r="K42" s="53"/>
      <c r="L42" s="53"/>
      <c r="M42" s="64"/>
      <c r="N42" s="53"/>
      <c r="O42" s="136"/>
      <c r="P42" s="53"/>
      <c r="Q42" s="53"/>
      <c r="R42" s="53"/>
      <c r="S42" s="53"/>
      <c r="T42" s="53"/>
      <c r="U42" s="53"/>
      <c r="V42" s="53"/>
    </row>
    <row r="43" spans="2:22" ht="15" customHeight="1" x14ac:dyDescent="0.3">
      <c r="B43" s="108" t="s">
        <v>84</v>
      </c>
      <c r="C43" s="108" t="s">
        <v>85</v>
      </c>
      <c r="D43" s="191" t="s">
        <v>86</v>
      </c>
      <c r="E43" s="191"/>
      <c r="F43" s="219">
        <f>IF(D20="Apenas em oficina","Não se aplica",(D26*F33))</f>
        <v>0</v>
      </c>
      <c r="G43" s="219"/>
      <c r="I43" s="135"/>
      <c r="J43" s="53"/>
      <c r="K43" s="53"/>
      <c r="L43" s="53"/>
      <c r="M43" s="64"/>
      <c r="N43" s="53"/>
      <c r="O43" s="136"/>
      <c r="P43" s="53"/>
      <c r="Q43" s="53"/>
      <c r="R43" s="53"/>
      <c r="S43" s="53"/>
      <c r="T43" s="53"/>
      <c r="U43" s="53"/>
      <c r="V43" s="53"/>
    </row>
    <row r="44" spans="2:22" ht="15" customHeight="1" x14ac:dyDescent="0.3">
      <c r="B44" s="108" t="s">
        <v>84</v>
      </c>
      <c r="C44" s="108" t="s">
        <v>87</v>
      </c>
      <c r="D44" s="191" t="s">
        <v>88</v>
      </c>
      <c r="E44" s="191"/>
      <c r="F44" s="219">
        <f>IF(D20="Apenas em oficina","Não se aplica",(D25*F33))</f>
        <v>0</v>
      </c>
      <c r="G44" s="219"/>
      <c r="I44" s="135"/>
      <c r="J44" s="53"/>
      <c r="K44" s="53"/>
      <c r="L44" s="53"/>
      <c r="M44" s="64"/>
      <c r="N44" s="53"/>
      <c r="O44" s="136"/>
      <c r="P44" s="53"/>
      <c r="Q44" s="53"/>
      <c r="R44" s="53"/>
      <c r="S44" s="53"/>
      <c r="T44" s="53"/>
      <c r="U44" s="53"/>
      <c r="V44" s="53"/>
    </row>
    <row r="45" spans="2:22" ht="15" customHeight="1" x14ac:dyDescent="0.3">
      <c r="B45" s="137"/>
      <c r="C45" s="137"/>
      <c r="D45" s="210" t="s">
        <v>89</v>
      </c>
      <c r="E45" s="210"/>
      <c r="F45" s="220">
        <f>IFERROR((F43+F44),"Não se aplica")</f>
        <v>0</v>
      </c>
      <c r="G45" s="220"/>
      <c r="I45" s="135"/>
      <c r="J45" s="53"/>
      <c r="K45" s="53"/>
      <c r="L45" s="53"/>
      <c r="M45" s="64"/>
      <c r="N45" s="53"/>
      <c r="O45" s="136"/>
      <c r="P45" s="53"/>
      <c r="Q45" s="53"/>
      <c r="R45" s="53"/>
      <c r="S45" s="53"/>
      <c r="T45" s="53"/>
      <c r="U45" s="53"/>
      <c r="V45" s="53"/>
    </row>
    <row r="46" spans="2:22" ht="8.15" customHeight="1" x14ac:dyDescent="0.3">
      <c r="B46" s="119"/>
      <c r="C46" s="119"/>
      <c r="D46" s="161"/>
      <c r="E46" s="161"/>
      <c r="F46" s="161"/>
      <c r="G46" s="161"/>
      <c r="I46" s="67"/>
    </row>
    <row r="47" spans="2:22" ht="15" customHeight="1" x14ac:dyDescent="0.3">
      <c r="B47" s="115" t="s">
        <v>90</v>
      </c>
      <c r="C47" s="115" t="s">
        <v>91</v>
      </c>
      <c r="D47" s="162"/>
      <c r="E47" s="162"/>
      <c r="F47" s="162"/>
      <c r="G47" s="163"/>
      <c r="I47" s="67"/>
    </row>
    <row r="48" spans="2:22" ht="15" customHeight="1" x14ac:dyDescent="0.3">
      <c r="B48" s="108" t="s">
        <v>92</v>
      </c>
      <c r="C48" s="108" t="s">
        <v>93</v>
      </c>
      <c r="D48" s="164"/>
      <c r="E48" s="164"/>
      <c r="F48" s="219">
        <f>IFERROR(VLOOKUP(D21,J82:P102,7,FALSE),0)</f>
        <v>0</v>
      </c>
      <c r="G48" s="219"/>
      <c r="I48" s="67"/>
    </row>
    <row r="49" spans="2:24" ht="15" customHeight="1" x14ac:dyDescent="0.3">
      <c r="B49" s="108" t="s">
        <v>94</v>
      </c>
      <c r="C49" s="108" t="s">
        <v>95</v>
      </c>
      <c r="D49" s="170">
        <f>'Km rodado, refeição e Lancha'!B20</f>
        <v>2.9</v>
      </c>
      <c r="E49" s="169" t="s">
        <v>115</v>
      </c>
      <c r="F49" s="223">
        <f>IF(D22="Carro próprio",$D$23*N82,0)</f>
        <v>0</v>
      </c>
      <c r="G49" s="223"/>
      <c r="I49" s="66"/>
      <c r="W49" s="61"/>
    </row>
    <row r="50" spans="2:24" ht="15" customHeight="1" x14ac:dyDescent="0.3">
      <c r="B50" s="108" t="s">
        <v>96</v>
      </c>
      <c r="C50" s="108" t="s">
        <v>97</v>
      </c>
      <c r="D50" s="164"/>
      <c r="E50" s="164"/>
      <c r="F50" s="223">
        <f>IF(D27="Fornecimento da contratada",IF(D28="Fornecimento pela contratada",(D17*3*'Km rodado, refeição e Lancha'!I19)+(D18*3*'Km rodado, refeição e Lancha'!J19),(D17*2*'Km rodado, refeição e Lancha'!I19)+(D18*2*'Km rodado, refeição e Lancha'!J19)),IF(D28="Fornecimento pela contratada",D17*1*'Km rodado, refeição e Lancha'!I19+D18*1*'Km rodado, refeição e Lancha'!J19,0))</f>
        <v>0</v>
      </c>
      <c r="G50" s="223"/>
      <c r="I50" s="66"/>
      <c r="J50" s="68"/>
      <c r="M50" s="68"/>
    </row>
    <row r="51" spans="2:24" ht="15" customHeight="1" x14ac:dyDescent="0.3">
      <c r="B51" s="108" t="s">
        <v>98</v>
      </c>
      <c r="C51" s="108" t="s">
        <v>99</v>
      </c>
      <c r="D51" s="211">
        <f>'Km rodado, refeição e Lancha'!B26</f>
        <v>75</v>
      </c>
      <c r="E51" s="211"/>
      <c r="F51" s="223">
        <f>IF(D14="Rio de Janeiro",IF(D28="Fornecimento pelo navio",0,D19*(D17+D18)*D51),0)</f>
        <v>0</v>
      </c>
      <c r="G51" s="223"/>
      <c r="I51" s="66"/>
      <c r="X51" s="107"/>
    </row>
    <row r="52" spans="2:24" ht="15" customHeight="1" x14ac:dyDescent="0.3">
      <c r="B52" s="116"/>
      <c r="C52" s="116"/>
      <c r="D52" s="210" t="s">
        <v>100</v>
      </c>
      <c r="E52" s="210"/>
      <c r="F52" s="220">
        <f>SUM(F48:F51)</f>
        <v>0</v>
      </c>
      <c r="G52" s="220"/>
      <c r="I52" s="66"/>
    </row>
    <row r="53" spans="2:24" ht="8.15" customHeight="1" x14ac:dyDescent="0.3">
      <c r="B53" s="119"/>
      <c r="C53" s="119"/>
      <c r="D53" s="160"/>
      <c r="E53" s="160"/>
      <c r="F53" s="160"/>
      <c r="G53" s="165"/>
      <c r="I53" s="66"/>
    </row>
    <row r="54" spans="2:24" ht="15" customHeight="1" x14ac:dyDescent="0.3">
      <c r="B54" s="118" t="s">
        <v>101</v>
      </c>
      <c r="C54" s="118" t="s">
        <v>102</v>
      </c>
      <c r="D54" s="212" t="s">
        <v>103</v>
      </c>
      <c r="E54" s="212"/>
      <c r="F54" s="166" t="s">
        <v>104</v>
      </c>
      <c r="G54" s="166"/>
    </row>
    <row r="55" spans="2:24" ht="15" customHeight="1" x14ac:dyDescent="0.3">
      <c r="B55" s="109"/>
      <c r="C55" s="131"/>
      <c r="D55" s="214"/>
      <c r="E55" s="214"/>
      <c r="F55" s="224"/>
      <c r="G55" s="224"/>
    </row>
    <row r="56" spans="2:24" ht="15" customHeight="1" x14ac:dyDescent="0.3">
      <c r="B56" s="109"/>
      <c r="C56" s="131"/>
      <c r="D56" s="214"/>
      <c r="E56" s="214"/>
      <c r="F56" s="224"/>
      <c r="G56" s="224"/>
    </row>
    <row r="57" spans="2:24" ht="15" customHeight="1" x14ac:dyDescent="0.3">
      <c r="B57" s="109"/>
      <c r="C57" s="131"/>
      <c r="D57" s="214"/>
      <c r="E57" s="214"/>
      <c r="F57" s="224"/>
      <c r="G57" s="224"/>
    </row>
    <row r="58" spans="2:24" ht="15" customHeight="1" x14ac:dyDescent="0.3">
      <c r="B58" s="109"/>
      <c r="C58" s="131"/>
      <c r="D58" s="214"/>
      <c r="E58" s="214"/>
      <c r="F58" s="224"/>
      <c r="G58" s="224"/>
    </row>
    <row r="59" spans="2:24" ht="15" customHeight="1" x14ac:dyDescent="0.3">
      <c r="B59" s="109"/>
      <c r="C59" s="131"/>
      <c r="D59" s="214"/>
      <c r="E59" s="214"/>
      <c r="F59" s="224"/>
      <c r="G59" s="224"/>
    </row>
    <row r="60" spans="2:24" ht="15" customHeight="1" x14ac:dyDescent="0.3">
      <c r="B60" s="109"/>
      <c r="C60" s="131"/>
      <c r="D60" s="214"/>
      <c r="E60" s="214"/>
      <c r="F60" s="224"/>
      <c r="G60" s="224"/>
    </row>
    <row r="61" spans="2:24" ht="15" customHeight="1" x14ac:dyDescent="0.3">
      <c r="B61" s="109"/>
      <c r="C61" s="131"/>
      <c r="D61" s="214"/>
      <c r="E61" s="214"/>
      <c r="F61" s="224"/>
      <c r="G61" s="224"/>
      <c r="L61" s="130"/>
    </row>
    <row r="62" spans="2:24" ht="15" customHeight="1" x14ac:dyDescent="0.3">
      <c r="B62" s="109"/>
      <c r="C62" s="131"/>
      <c r="D62" s="214"/>
      <c r="E62" s="214"/>
      <c r="F62" s="224"/>
      <c r="G62" s="224"/>
      <c r="L62" s="130"/>
    </row>
    <row r="63" spans="2:24" ht="15" customHeight="1" x14ac:dyDescent="0.3">
      <c r="B63" s="118"/>
      <c r="C63" s="118"/>
      <c r="D63" s="215" t="s">
        <v>105</v>
      </c>
      <c r="E63" s="215"/>
      <c r="F63" s="220">
        <f>SUM(F55:F62)</f>
        <v>0</v>
      </c>
      <c r="G63" s="220"/>
    </row>
    <row r="64" spans="2:24" ht="8.15" customHeight="1" x14ac:dyDescent="0.3">
      <c r="B64" s="119"/>
      <c r="C64" s="119"/>
      <c r="D64" s="161"/>
      <c r="E64" s="161"/>
      <c r="F64" s="165"/>
      <c r="G64" s="165"/>
    </row>
    <row r="65" spans="2:22" ht="15" customHeight="1" x14ac:dyDescent="0.3">
      <c r="B65" s="140" t="s">
        <v>106</v>
      </c>
      <c r="C65" s="140" t="s">
        <v>107</v>
      </c>
      <c r="D65" s="167"/>
      <c r="E65" s="167"/>
      <c r="F65" s="225">
        <f>IF(F45="Não se aplica", F40+F52+F63,F40+F45+F52+F63)</f>
        <v>0</v>
      </c>
      <c r="G65" s="225"/>
      <c r="I65" s="53"/>
      <c r="J65" s="53"/>
      <c r="K65" s="53"/>
      <c r="L65" s="141"/>
      <c r="M65" s="64"/>
      <c r="N65" s="53"/>
      <c r="O65" s="136"/>
      <c r="P65" s="53"/>
      <c r="Q65" s="53"/>
      <c r="R65" s="53"/>
      <c r="S65" s="53"/>
      <c r="T65" s="53"/>
      <c r="U65" s="53"/>
      <c r="V65" s="53"/>
    </row>
    <row r="66" spans="2:22" ht="12" customHeight="1" x14ac:dyDescent="0.3">
      <c r="L66" s="130"/>
    </row>
    <row r="67" spans="2:22" ht="12" customHeight="1" x14ac:dyDescent="0.3">
      <c r="C67" s="53" t="s">
        <v>108</v>
      </c>
      <c r="I67" s="55"/>
      <c r="L67" s="130"/>
    </row>
    <row r="68" spans="2:22" ht="12" customHeight="1" x14ac:dyDescent="0.3">
      <c r="L68" s="130"/>
    </row>
    <row r="69" spans="2:22" ht="12" customHeight="1" x14ac:dyDescent="0.3">
      <c r="C69" s="112"/>
      <c r="D69" s="216" t="s">
        <v>109</v>
      </c>
      <c r="E69" s="217"/>
      <c r="F69" s="221"/>
      <c r="G69" s="222"/>
      <c r="L69" s="130"/>
    </row>
    <row r="70" spans="2:22" ht="12" customHeight="1" x14ac:dyDescent="0.3">
      <c r="C70" s="69" t="s">
        <v>110</v>
      </c>
      <c r="G70" s="168"/>
      <c r="H70" s="64"/>
    </row>
    <row r="74" spans="2:22" ht="12" customHeight="1" x14ac:dyDescent="0.3">
      <c r="O74" s="54"/>
    </row>
    <row r="75" spans="2:22" ht="12" customHeight="1" x14ac:dyDescent="0.3">
      <c r="O75" s="54"/>
    </row>
    <row r="76" spans="2:22" ht="12" customHeight="1" thickBot="1" x14ac:dyDescent="0.35">
      <c r="J76" s="54" t="s">
        <v>111</v>
      </c>
    </row>
    <row r="77" spans="2:22" ht="12" customHeight="1" thickBot="1" x14ac:dyDescent="0.35">
      <c r="J77" s="177" t="s">
        <v>112</v>
      </c>
      <c r="K77" s="199" t="s">
        <v>113</v>
      </c>
      <c r="L77" s="200"/>
      <c r="M77" s="177" t="s">
        <v>114</v>
      </c>
      <c r="N77" s="177" t="s">
        <v>115</v>
      </c>
      <c r="O77" s="180" t="s">
        <v>116</v>
      </c>
      <c r="P77" s="181"/>
      <c r="Q77" s="177" t="s">
        <v>117</v>
      </c>
    </row>
    <row r="78" spans="2:22" ht="12" customHeight="1" x14ac:dyDescent="0.3">
      <c r="J78" s="178"/>
      <c r="K78" s="201"/>
      <c r="L78" s="202"/>
      <c r="M78" s="178"/>
      <c r="N78" s="178"/>
      <c r="O78" s="174" t="s">
        <v>118</v>
      </c>
      <c r="P78" s="171" t="s">
        <v>119</v>
      </c>
      <c r="Q78" s="178"/>
    </row>
    <row r="79" spans="2:22" ht="12" customHeight="1" x14ac:dyDescent="0.3">
      <c r="J79" s="178"/>
      <c r="K79" s="203" t="s">
        <v>120</v>
      </c>
      <c r="L79" s="198" t="s">
        <v>121</v>
      </c>
      <c r="M79" s="178"/>
      <c r="N79" s="178"/>
      <c r="O79" s="175"/>
      <c r="P79" s="172"/>
      <c r="Q79" s="178"/>
    </row>
    <row r="80" spans="2:22" ht="12" customHeight="1" x14ac:dyDescent="0.3">
      <c r="J80" s="178"/>
      <c r="K80" s="204"/>
      <c r="L80" s="172"/>
      <c r="M80" s="178"/>
      <c r="N80" s="178"/>
      <c r="O80" s="175"/>
      <c r="P80" s="172"/>
      <c r="Q80" s="178"/>
    </row>
    <row r="81" spans="10:17" ht="12" customHeight="1" thickBot="1" x14ac:dyDescent="0.35">
      <c r="J81" s="179"/>
      <c r="K81" s="205"/>
      <c r="L81" s="173"/>
      <c r="M81" s="179"/>
      <c r="N81" s="179"/>
      <c r="O81" s="176"/>
      <c r="P81" s="173"/>
      <c r="Q81" s="179"/>
    </row>
    <row r="82" spans="10:17" ht="12" customHeight="1" x14ac:dyDescent="0.3">
      <c r="J82" s="70" t="s">
        <v>38</v>
      </c>
      <c r="K82" s="71">
        <v>1</v>
      </c>
      <c r="L82" s="132">
        <v>1</v>
      </c>
      <c r="M82" s="72">
        <v>0</v>
      </c>
      <c r="N82" s="206">
        <f>'Km rodado, refeição e Lancha'!B20</f>
        <v>2.9</v>
      </c>
      <c r="O82" s="73">
        <v>0</v>
      </c>
      <c r="P82" s="74">
        <v>0</v>
      </c>
      <c r="Q82" s="75"/>
    </row>
    <row r="83" spans="10:17" ht="12" customHeight="1" x14ac:dyDescent="0.3">
      <c r="J83" s="76" t="s">
        <v>122</v>
      </c>
      <c r="K83" s="81">
        <v>4</v>
      </c>
      <c r="L83" s="82">
        <v>5</v>
      </c>
      <c r="M83" s="65">
        <v>174</v>
      </c>
      <c r="N83" s="207"/>
      <c r="O83" s="77">
        <v>0</v>
      </c>
      <c r="P83" s="78">
        <v>0</v>
      </c>
      <c r="Q83" s="79">
        <f>54*2.22</f>
        <v>119.88000000000001</v>
      </c>
    </row>
    <row r="84" spans="10:17" ht="12" customHeight="1" x14ac:dyDescent="0.3">
      <c r="J84" s="76" t="s">
        <v>123</v>
      </c>
      <c r="K84" s="81">
        <v>9.5</v>
      </c>
      <c r="L84" s="82">
        <v>10.5</v>
      </c>
      <c r="M84" s="65">
        <v>0</v>
      </c>
      <c r="N84" s="207"/>
      <c r="O84" s="77">
        <v>97</v>
      </c>
      <c r="P84" s="78">
        <f>2*(O84+O$104)</f>
        <v>512</v>
      </c>
      <c r="Q84" s="80"/>
    </row>
    <row r="85" spans="10:17" ht="12" customHeight="1" x14ac:dyDescent="0.3">
      <c r="J85" s="76" t="s">
        <v>124</v>
      </c>
      <c r="K85" s="81">
        <v>8.5</v>
      </c>
      <c r="L85" s="82">
        <v>9.5</v>
      </c>
      <c r="M85" s="65">
        <v>0</v>
      </c>
      <c r="N85" s="207"/>
      <c r="O85" s="77">
        <v>111</v>
      </c>
      <c r="P85" s="78">
        <f>2*(O85+O$104)</f>
        <v>540</v>
      </c>
      <c r="Q85" s="80"/>
    </row>
    <row r="86" spans="10:17" ht="12" customHeight="1" x14ac:dyDescent="0.3">
      <c r="J86" s="76" t="s">
        <v>125</v>
      </c>
      <c r="K86" s="81">
        <v>9</v>
      </c>
      <c r="L86" s="82">
        <v>10</v>
      </c>
      <c r="M86" s="65">
        <v>0</v>
      </c>
      <c r="N86" s="207"/>
      <c r="O86" s="77">
        <v>66</v>
      </c>
      <c r="P86" s="78">
        <f>2*(O86+O$104)</f>
        <v>450</v>
      </c>
      <c r="Q86" s="80"/>
    </row>
    <row r="87" spans="10:17" ht="12" customHeight="1" x14ac:dyDescent="0.3">
      <c r="J87" s="76" t="s">
        <v>126</v>
      </c>
      <c r="K87" s="81">
        <v>5</v>
      </c>
      <c r="L87" s="82">
        <v>6</v>
      </c>
      <c r="M87" s="65">
        <v>215</v>
      </c>
      <c r="N87" s="207"/>
      <c r="O87" s="77">
        <v>0</v>
      </c>
      <c r="P87" s="78">
        <v>0</v>
      </c>
      <c r="Q87" s="79">
        <f>75.46*2.22</f>
        <v>167.52119999999999</v>
      </c>
    </row>
    <row r="88" spans="10:17" ht="12" customHeight="1" x14ac:dyDescent="0.3">
      <c r="J88" s="76" t="s">
        <v>127</v>
      </c>
      <c r="K88" s="81">
        <v>10.5</v>
      </c>
      <c r="L88" s="82">
        <v>11.5</v>
      </c>
      <c r="M88" s="65">
        <v>0</v>
      </c>
      <c r="N88" s="207"/>
      <c r="O88" s="77">
        <v>150</v>
      </c>
      <c r="P88" s="78">
        <f t="shared" ref="P88:P94" si="0">2*(O88+O$104)</f>
        <v>618</v>
      </c>
      <c r="Q88" s="80"/>
    </row>
    <row r="89" spans="10:17" ht="12" customHeight="1" x14ac:dyDescent="0.3">
      <c r="J89" s="76" t="s">
        <v>128</v>
      </c>
      <c r="K89" s="81">
        <v>10.5</v>
      </c>
      <c r="L89" s="82">
        <v>11.5</v>
      </c>
      <c r="M89" s="65">
        <v>0</v>
      </c>
      <c r="N89" s="207"/>
      <c r="O89" s="77">
        <v>149</v>
      </c>
      <c r="P89" s="78">
        <f t="shared" si="0"/>
        <v>616</v>
      </c>
      <c r="Q89" s="80"/>
    </row>
    <row r="90" spans="10:17" ht="12" customHeight="1" x14ac:dyDescent="0.3">
      <c r="J90" s="76" t="s">
        <v>129</v>
      </c>
      <c r="K90" s="81">
        <v>9.5</v>
      </c>
      <c r="L90" s="82">
        <v>10.5</v>
      </c>
      <c r="M90" s="65">
        <v>0</v>
      </c>
      <c r="N90" s="207"/>
      <c r="O90" s="77">
        <v>200</v>
      </c>
      <c r="P90" s="78">
        <f t="shared" si="0"/>
        <v>718</v>
      </c>
      <c r="Q90" s="80"/>
    </row>
    <row r="91" spans="10:17" ht="12" customHeight="1" x14ac:dyDescent="0.3">
      <c r="J91" s="76" t="s">
        <v>130</v>
      </c>
      <c r="K91" s="81">
        <v>8.5</v>
      </c>
      <c r="L91" s="82">
        <v>9.5</v>
      </c>
      <c r="M91" s="65">
        <v>0</v>
      </c>
      <c r="N91" s="207"/>
      <c r="O91" s="77">
        <v>495</v>
      </c>
      <c r="P91" s="78">
        <f t="shared" si="0"/>
        <v>1308</v>
      </c>
      <c r="Q91" s="80"/>
    </row>
    <row r="92" spans="10:17" ht="12" customHeight="1" x14ac:dyDescent="0.3">
      <c r="J92" s="76" t="s">
        <v>131</v>
      </c>
      <c r="K92" s="81">
        <v>13</v>
      </c>
      <c r="L92" s="82">
        <v>14</v>
      </c>
      <c r="M92" s="65">
        <v>0</v>
      </c>
      <c r="N92" s="207"/>
      <c r="O92" s="77">
        <v>84</v>
      </c>
      <c r="P92" s="78">
        <f t="shared" si="0"/>
        <v>486</v>
      </c>
      <c r="Q92" s="80"/>
    </row>
    <row r="93" spans="10:17" ht="12" customHeight="1" x14ac:dyDescent="0.3">
      <c r="J93" s="76" t="s">
        <v>132</v>
      </c>
      <c r="K93" s="81">
        <v>8</v>
      </c>
      <c r="L93" s="82">
        <v>9</v>
      </c>
      <c r="M93" s="65">
        <v>0</v>
      </c>
      <c r="N93" s="207"/>
      <c r="O93" s="77">
        <v>56</v>
      </c>
      <c r="P93" s="78">
        <f t="shared" si="0"/>
        <v>430</v>
      </c>
      <c r="Q93" s="80"/>
    </row>
    <row r="94" spans="10:17" ht="12" customHeight="1" x14ac:dyDescent="0.3">
      <c r="J94" s="76" t="s">
        <v>133</v>
      </c>
      <c r="K94" s="81">
        <v>7</v>
      </c>
      <c r="L94" s="82">
        <v>8</v>
      </c>
      <c r="M94" s="65">
        <v>0</v>
      </c>
      <c r="N94" s="207"/>
      <c r="O94" s="77">
        <v>72</v>
      </c>
      <c r="P94" s="78">
        <f t="shared" si="0"/>
        <v>462</v>
      </c>
      <c r="Q94" s="80"/>
    </row>
    <row r="95" spans="10:17" ht="12" customHeight="1" x14ac:dyDescent="0.3">
      <c r="J95" s="76" t="s">
        <v>134</v>
      </c>
      <c r="K95" s="81">
        <v>8</v>
      </c>
      <c r="L95" s="82">
        <v>9</v>
      </c>
      <c r="M95" s="65">
        <v>402</v>
      </c>
      <c r="N95" s="207"/>
      <c r="O95" s="77">
        <v>0</v>
      </c>
      <c r="P95" s="78">
        <v>0</v>
      </c>
      <c r="Q95" s="79">
        <f>117.06*2.22</f>
        <v>259.87320000000005</v>
      </c>
    </row>
    <row r="96" spans="10:17" ht="12" customHeight="1" x14ac:dyDescent="0.3">
      <c r="J96" s="76" t="s">
        <v>229</v>
      </c>
      <c r="K96" s="81">
        <v>7.5</v>
      </c>
      <c r="L96" s="82">
        <v>8.5</v>
      </c>
      <c r="M96" s="65">
        <v>0</v>
      </c>
      <c r="N96" s="207"/>
      <c r="O96" s="77">
        <v>135</v>
      </c>
      <c r="P96" s="78">
        <f>2*(O96+O$104)</f>
        <v>588</v>
      </c>
      <c r="Q96" s="80"/>
    </row>
    <row r="97" spans="10:28" ht="12" customHeight="1" x14ac:dyDescent="0.3">
      <c r="J97" s="76" t="s">
        <v>135</v>
      </c>
      <c r="K97" s="81">
        <v>6.5</v>
      </c>
      <c r="L97" s="82">
        <v>7.5</v>
      </c>
      <c r="M97" s="65">
        <v>0</v>
      </c>
      <c r="N97" s="207"/>
      <c r="O97" s="77">
        <v>72</v>
      </c>
      <c r="P97" s="78">
        <f>2*(O97+O$104)</f>
        <v>462</v>
      </c>
      <c r="Q97" s="80"/>
    </row>
    <row r="98" spans="10:28" ht="12" customHeight="1" x14ac:dyDescent="0.3">
      <c r="J98" s="76" t="s">
        <v>136</v>
      </c>
      <c r="K98" s="81">
        <v>10</v>
      </c>
      <c r="L98" s="82">
        <v>11</v>
      </c>
      <c r="M98" s="65">
        <v>505</v>
      </c>
      <c r="N98" s="207"/>
      <c r="O98" s="77">
        <v>0</v>
      </c>
      <c r="P98" s="78">
        <v>0</v>
      </c>
      <c r="Q98" s="80"/>
    </row>
    <row r="99" spans="10:28" ht="12" customHeight="1" x14ac:dyDescent="0.3">
      <c r="J99" s="76" t="s">
        <v>137</v>
      </c>
      <c r="K99" s="81">
        <v>8.5</v>
      </c>
      <c r="L99" s="82">
        <v>9.5</v>
      </c>
      <c r="M99" s="65">
        <v>0</v>
      </c>
      <c r="N99" s="207"/>
      <c r="O99" s="77">
        <v>218</v>
      </c>
      <c r="P99" s="78">
        <f>2*(O99+O$104)</f>
        <v>754</v>
      </c>
      <c r="Q99" s="80"/>
    </row>
    <row r="100" spans="10:28" ht="12" customHeight="1" x14ac:dyDescent="0.3">
      <c r="J100" s="76" t="s">
        <v>230</v>
      </c>
      <c r="K100" s="81">
        <v>9</v>
      </c>
      <c r="L100" s="82">
        <v>10</v>
      </c>
      <c r="M100" s="65">
        <v>0</v>
      </c>
      <c r="N100" s="207"/>
      <c r="O100" s="77">
        <v>46</v>
      </c>
      <c r="P100" s="78">
        <f>2*(O100+O$104)</f>
        <v>410</v>
      </c>
      <c r="Q100" s="80"/>
    </row>
    <row r="101" spans="10:28" ht="12" customHeight="1" x14ac:dyDescent="0.3">
      <c r="J101" s="76" t="s">
        <v>138</v>
      </c>
      <c r="K101" s="81">
        <v>5</v>
      </c>
      <c r="L101" s="82">
        <v>6</v>
      </c>
      <c r="M101" s="65">
        <v>165</v>
      </c>
      <c r="N101" s="207"/>
      <c r="O101" s="77">
        <v>0</v>
      </c>
      <c r="P101" s="78">
        <v>0</v>
      </c>
      <c r="Q101" s="80"/>
    </row>
    <row r="102" spans="10:28" ht="12" customHeight="1" thickBot="1" x14ac:dyDescent="0.35">
      <c r="J102" s="83" t="s">
        <v>139</v>
      </c>
      <c r="K102" s="84">
        <v>4</v>
      </c>
      <c r="L102" s="85">
        <v>5</v>
      </c>
      <c r="M102" s="86">
        <v>99</v>
      </c>
      <c r="N102" s="87"/>
      <c r="O102" s="88">
        <v>111</v>
      </c>
      <c r="P102" s="89">
        <v>260</v>
      </c>
      <c r="Q102" s="90"/>
    </row>
    <row r="103" spans="10:28" ht="12" customHeight="1" thickBot="1" x14ac:dyDescent="0.35">
      <c r="J103" s="103"/>
      <c r="O103" s="104"/>
    </row>
    <row r="104" spans="10:28" ht="12" customHeight="1" thickBot="1" x14ac:dyDescent="0.35">
      <c r="J104" s="91" t="s">
        <v>21</v>
      </c>
      <c r="L104" s="195" t="s">
        <v>140</v>
      </c>
      <c r="M104" s="196"/>
      <c r="N104" s="197"/>
      <c r="O104" s="92">
        <v>159</v>
      </c>
    </row>
    <row r="105" spans="10:28" ht="12" customHeight="1" x14ac:dyDescent="0.3">
      <c r="J105" s="93" t="s">
        <v>22</v>
      </c>
      <c r="N105" s="55"/>
    </row>
    <row r="106" spans="10:28" ht="12" customHeight="1" thickBot="1" x14ac:dyDescent="0.35">
      <c r="J106" s="94" t="s">
        <v>141</v>
      </c>
    </row>
    <row r="107" spans="10:28" ht="12" customHeight="1" thickBot="1" x14ac:dyDescent="0.35"/>
    <row r="108" spans="10:28" ht="12" customHeight="1" thickBot="1" x14ac:dyDescent="0.35">
      <c r="J108" s="95" t="s">
        <v>142</v>
      </c>
      <c r="M108" s="96" t="s">
        <v>143</v>
      </c>
    </row>
    <row r="109" spans="10:28" ht="12" customHeight="1" x14ac:dyDescent="0.3">
      <c r="J109" s="97" t="s">
        <v>35</v>
      </c>
      <c r="M109" s="122">
        <v>45292</v>
      </c>
      <c r="N109" s="123" t="s">
        <v>144</v>
      </c>
      <c r="O109" s="123" t="s">
        <v>145</v>
      </c>
    </row>
    <row r="110" spans="10:28" ht="12" customHeight="1" x14ac:dyDescent="0.3">
      <c r="J110" s="97" t="s">
        <v>146</v>
      </c>
      <c r="M110" s="122">
        <v>45334</v>
      </c>
      <c r="N110" s="123" t="s">
        <v>144</v>
      </c>
      <c r="O110" s="123" t="s">
        <v>147</v>
      </c>
      <c r="S110" s="20" t="s">
        <v>3</v>
      </c>
      <c r="Z110" s="124"/>
      <c r="AA110" s="125"/>
      <c r="AB110" s="125"/>
    </row>
    <row r="111" spans="10:28" ht="12" customHeight="1" thickBot="1" x14ac:dyDescent="0.35">
      <c r="J111" s="98" t="s">
        <v>148</v>
      </c>
      <c r="M111" s="122">
        <v>45335</v>
      </c>
      <c r="N111" s="123" t="s">
        <v>149</v>
      </c>
      <c r="O111" s="123" t="s">
        <v>147</v>
      </c>
      <c r="S111" s="20" t="s">
        <v>5</v>
      </c>
      <c r="Z111" s="124"/>
      <c r="AA111" s="125"/>
      <c r="AB111" s="125"/>
    </row>
    <row r="112" spans="10:28" ht="12" customHeight="1" thickBot="1" x14ac:dyDescent="0.35">
      <c r="M112" s="122">
        <v>45380</v>
      </c>
      <c r="N112" s="123" t="s">
        <v>150</v>
      </c>
      <c r="O112" s="123" t="s">
        <v>151</v>
      </c>
      <c r="S112" s="20" t="s">
        <v>8</v>
      </c>
      <c r="Z112" s="124"/>
      <c r="AA112" s="125"/>
      <c r="AB112" s="125"/>
    </row>
    <row r="113" spans="10:28" ht="12" customHeight="1" thickBot="1" x14ac:dyDescent="0.35">
      <c r="J113" s="91" t="s">
        <v>152</v>
      </c>
      <c r="M113" s="122">
        <v>45403</v>
      </c>
      <c r="N113" s="123" t="s">
        <v>153</v>
      </c>
      <c r="O113" s="123" t="s">
        <v>154</v>
      </c>
      <c r="S113" s="20" t="s">
        <v>10</v>
      </c>
      <c r="Z113" s="124"/>
      <c r="AA113" s="125"/>
      <c r="AB113" s="125"/>
    </row>
    <row r="114" spans="10:28" ht="12" customHeight="1" x14ac:dyDescent="0.3">
      <c r="J114" s="99" t="s">
        <v>155</v>
      </c>
      <c r="M114" s="122">
        <v>45413</v>
      </c>
      <c r="N114" s="123" t="s">
        <v>156</v>
      </c>
      <c r="O114" s="123" t="s">
        <v>157</v>
      </c>
      <c r="S114" s="20" t="s">
        <v>11</v>
      </c>
      <c r="Z114" s="124"/>
      <c r="AA114" s="125"/>
      <c r="AB114" s="125"/>
    </row>
    <row r="115" spans="10:28" ht="12" customHeight="1" x14ac:dyDescent="0.3">
      <c r="J115" s="93" t="s">
        <v>158</v>
      </c>
      <c r="M115" s="122">
        <v>45442</v>
      </c>
      <c r="N115" s="123" t="s">
        <v>159</v>
      </c>
      <c r="O115" s="123" t="s">
        <v>160</v>
      </c>
      <c r="S115" s="20" t="s">
        <v>14</v>
      </c>
      <c r="Z115" s="124"/>
      <c r="AA115" s="125"/>
      <c r="AB115" s="125"/>
    </row>
    <row r="116" spans="10:28" ht="12" customHeight="1" x14ac:dyDescent="0.3">
      <c r="J116" s="93" t="s">
        <v>161</v>
      </c>
      <c r="M116" s="122">
        <v>45542</v>
      </c>
      <c r="N116" s="123" t="s">
        <v>162</v>
      </c>
      <c r="O116" s="123" t="s">
        <v>163</v>
      </c>
      <c r="S116" s="20" t="s">
        <v>17</v>
      </c>
      <c r="Z116" s="124"/>
      <c r="AA116" s="125"/>
      <c r="AB116" s="125"/>
    </row>
    <row r="117" spans="10:28" ht="12" customHeight="1" thickBot="1" x14ac:dyDescent="0.35">
      <c r="J117" s="94" t="s">
        <v>41</v>
      </c>
      <c r="M117" s="122">
        <v>45577</v>
      </c>
      <c r="N117" s="123" t="s">
        <v>162</v>
      </c>
      <c r="O117" s="123" t="s">
        <v>164</v>
      </c>
      <c r="Z117" s="124"/>
      <c r="AA117" s="125"/>
      <c r="AB117" s="125"/>
    </row>
    <row r="118" spans="10:28" ht="12" customHeight="1" thickBot="1" x14ac:dyDescent="0.35">
      <c r="J118" s="100"/>
      <c r="M118" s="122">
        <v>45598</v>
      </c>
      <c r="N118" s="123" t="s">
        <v>162</v>
      </c>
      <c r="O118" s="123" t="s">
        <v>165</v>
      </c>
      <c r="Z118" s="124"/>
      <c r="AA118" s="125"/>
      <c r="AB118" s="125"/>
    </row>
    <row r="119" spans="10:28" ht="12" customHeight="1" thickBot="1" x14ac:dyDescent="0.35">
      <c r="J119" s="91" t="s">
        <v>166</v>
      </c>
      <c r="M119" s="122">
        <v>45611</v>
      </c>
      <c r="N119" s="123" t="s">
        <v>150</v>
      </c>
      <c r="O119" s="123" t="s">
        <v>167</v>
      </c>
      <c r="Z119" s="124"/>
      <c r="AA119" s="125"/>
      <c r="AB119" s="125"/>
    </row>
    <row r="120" spans="10:28" ht="12" customHeight="1" x14ac:dyDescent="0.3">
      <c r="J120" s="93" t="s">
        <v>168</v>
      </c>
      <c r="M120" s="122">
        <v>45651</v>
      </c>
      <c r="N120" s="123" t="s">
        <v>156</v>
      </c>
      <c r="O120" s="123" t="s">
        <v>169</v>
      </c>
      <c r="Z120" s="124"/>
      <c r="AA120" s="125"/>
      <c r="AB120" s="125"/>
    </row>
    <row r="121" spans="10:28" ht="12" customHeight="1" thickBot="1" x14ac:dyDescent="0.35">
      <c r="J121" s="94" t="s">
        <v>46</v>
      </c>
      <c r="M121" s="122">
        <v>45658</v>
      </c>
      <c r="N121" s="123" t="s">
        <v>156</v>
      </c>
      <c r="O121" s="123" t="s">
        <v>145</v>
      </c>
      <c r="Z121" s="124"/>
      <c r="AA121" s="125"/>
      <c r="AB121" s="125"/>
    </row>
    <row r="122" spans="10:28" ht="12" customHeight="1" thickBot="1" x14ac:dyDescent="0.35">
      <c r="M122" s="122">
        <v>45719</v>
      </c>
      <c r="N122" s="123" t="s">
        <v>144</v>
      </c>
      <c r="O122" s="123" t="s">
        <v>147</v>
      </c>
      <c r="Z122" s="124"/>
      <c r="AA122" s="125"/>
      <c r="AB122" s="125"/>
    </row>
    <row r="123" spans="10:28" ht="12" customHeight="1" thickBot="1" x14ac:dyDescent="0.35">
      <c r="J123" s="95" t="s">
        <v>170</v>
      </c>
      <c r="M123" s="122">
        <v>45720</v>
      </c>
      <c r="N123" s="123" t="s">
        <v>149</v>
      </c>
      <c r="O123" s="123" t="s">
        <v>147</v>
      </c>
      <c r="Z123" s="124"/>
      <c r="AA123" s="125"/>
      <c r="AB123" s="125"/>
    </row>
    <row r="124" spans="10:28" ht="12" customHeight="1" x14ac:dyDescent="0.3">
      <c r="J124" s="101" t="s">
        <v>53</v>
      </c>
      <c r="M124" s="122">
        <v>45765</v>
      </c>
      <c r="N124" s="123" t="s">
        <v>150</v>
      </c>
      <c r="O124" s="123" t="s">
        <v>151</v>
      </c>
      <c r="Z124" s="124"/>
      <c r="AA124" s="125"/>
      <c r="AB124" s="125"/>
    </row>
    <row r="125" spans="10:28" ht="12" customHeight="1" thickBot="1" x14ac:dyDescent="0.35">
      <c r="J125" s="98" t="s">
        <v>171</v>
      </c>
      <c r="M125" s="122">
        <v>45768</v>
      </c>
      <c r="N125" s="123" t="s">
        <v>144</v>
      </c>
      <c r="O125" s="123" t="s">
        <v>154</v>
      </c>
      <c r="Z125" s="124"/>
      <c r="AA125" s="125"/>
      <c r="AB125" s="125"/>
    </row>
    <row r="126" spans="10:28" ht="12" customHeight="1" thickBot="1" x14ac:dyDescent="0.35">
      <c r="M126" s="122">
        <v>45778</v>
      </c>
      <c r="N126" s="123" t="s">
        <v>159</v>
      </c>
      <c r="O126" s="123" t="s">
        <v>157</v>
      </c>
      <c r="Z126" s="124"/>
      <c r="AA126" s="125"/>
      <c r="AB126" s="125"/>
    </row>
    <row r="127" spans="10:28" ht="12" customHeight="1" thickBot="1" x14ac:dyDescent="0.35">
      <c r="J127" s="95" t="s">
        <v>172</v>
      </c>
      <c r="M127" s="122">
        <v>45827</v>
      </c>
      <c r="N127" s="123" t="s">
        <v>159</v>
      </c>
      <c r="O127" s="123" t="s">
        <v>160</v>
      </c>
      <c r="Z127" s="124"/>
      <c r="AA127" s="125"/>
      <c r="AB127" s="125"/>
    </row>
    <row r="128" spans="10:28" ht="12" customHeight="1" x14ac:dyDescent="0.3">
      <c r="J128" s="97" t="s">
        <v>56</v>
      </c>
      <c r="M128" s="122">
        <v>45907</v>
      </c>
      <c r="N128" s="123" t="s">
        <v>153</v>
      </c>
      <c r="O128" s="123" t="s">
        <v>163</v>
      </c>
      <c r="Z128" s="124"/>
      <c r="AA128" s="125"/>
      <c r="AB128" s="125"/>
    </row>
    <row r="129" spans="10:28" ht="12" customHeight="1" thickBot="1" x14ac:dyDescent="0.35">
      <c r="J129" s="98" t="s">
        <v>173</v>
      </c>
      <c r="M129" s="122">
        <v>45942</v>
      </c>
      <c r="N129" s="123" t="s">
        <v>153</v>
      </c>
      <c r="O129" s="123" t="s">
        <v>174</v>
      </c>
      <c r="Z129" s="124"/>
      <c r="AA129" s="125"/>
      <c r="AB129" s="125"/>
    </row>
    <row r="130" spans="10:28" ht="12" customHeight="1" x14ac:dyDescent="0.3">
      <c r="M130" s="122">
        <v>45963</v>
      </c>
      <c r="N130" s="123" t="s">
        <v>153</v>
      </c>
      <c r="O130" s="123" t="s">
        <v>165</v>
      </c>
      <c r="Z130" s="124"/>
      <c r="AA130" s="125"/>
      <c r="AB130" s="125"/>
    </row>
    <row r="131" spans="10:28" ht="12" customHeight="1" x14ac:dyDescent="0.3">
      <c r="M131" s="122">
        <v>45976</v>
      </c>
      <c r="N131" s="123" t="s">
        <v>162</v>
      </c>
      <c r="O131" s="123" t="s">
        <v>167</v>
      </c>
      <c r="Z131" s="124"/>
      <c r="AA131" s="125"/>
      <c r="AB131" s="125"/>
    </row>
    <row r="132" spans="10:28" ht="12" customHeight="1" x14ac:dyDescent="0.3">
      <c r="J132" s="54" t="s">
        <v>175</v>
      </c>
      <c r="M132" s="122">
        <v>46016</v>
      </c>
      <c r="N132" s="123" t="s">
        <v>159</v>
      </c>
      <c r="O132" s="123" t="s">
        <v>169</v>
      </c>
      <c r="Z132" s="124"/>
      <c r="AA132" s="125"/>
      <c r="AB132" s="125"/>
    </row>
    <row r="133" spans="10:28" ht="12" customHeight="1" x14ac:dyDescent="0.3">
      <c r="J133" s="54" t="s">
        <v>176</v>
      </c>
      <c r="M133" s="122">
        <v>46023</v>
      </c>
      <c r="N133" s="123" t="s">
        <v>159</v>
      </c>
      <c r="O133" s="123" t="s">
        <v>145</v>
      </c>
      <c r="Z133" s="124"/>
      <c r="AA133" s="125"/>
      <c r="AB133" s="125"/>
    </row>
    <row r="134" spans="10:28" ht="12" customHeight="1" x14ac:dyDescent="0.3">
      <c r="J134" s="54" t="s">
        <v>177</v>
      </c>
      <c r="M134" s="122">
        <v>46069</v>
      </c>
      <c r="N134" s="123" t="s">
        <v>144</v>
      </c>
      <c r="O134" s="123" t="s">
        <v>147</v>
      </c>
      <c r="Z134" s="124"/>
      <c r="AA134" s="125"/>
      <c r="AB134" s="125"/>
    </row>
    <row r="135" spans="10:28" ht="12" customHeight="1" x14ac:dyDescent="0.3">
      <c r="J135" s="54" t="s">
        <v>178</v>
      </c>
      <c r="M135" s="122">
        <v>46070</v>
      </c>
      <c r="N135" s="123" t="s">
        <v>149</v>
      </c>
      <c r="O135" s="123" t="s">
        <v>147</v>
      </c>
      <c r="Z135" s="124"/>
      <c r="AA135" s="125"/>
      <c r="AB135" s="125"/>
    </row>
    <row r="136" spans="10:28" ht="12" customHeight="1" thickBot="1" x14ac:dyDescent="0.35">
      <c r="M136" s="122">
        <v>46115</v>
      </c>
      <c r="N136" s="123" t="s">
        <v>150</v>
      </c>
      <c r="O136" s="123" t="s">
        <v>151</v>
      </c>
      <c r="Z136" s="124"/>
      <c r="AA136" s="125"/>
      <c r="AB136" s="125"/>
    </row>
    <row r="137" spans="10:28" ht="12" customHeight="1" thickBot="1" x14ac:dyDescent="0.35">
      <c r="J137" s="101" t="s">
        <v>58</v>
      </c>
      <c r="M137" s="122">
        <v>46133</v>
      </c>
      <c r="N137" s="123" t="s">
        <v>149</v>
      </c>
      <c r="O137" s="123" t="s">
        <v>154</v>
      </c>
      <c r="Z137" s="124"/>
      <c r="AA137" s="125"/>
      <c r="AB137" s="125"/>
    </row>
    <row r="138" spans="10:28" ht="12" customHeight="1" x14ac:dyDescent="0.3">
      <c r="J138" s="101" t="s">
        <v>179</v>
      </c>
      <c r="M138" s="122">
        <v>46143</v>
      </c>
      <c r="N138" s="123" t="s">
        <v>150</v>
      </c>
      <c r="O138" s="123" t="s">
        <v>157</v>
      </c>
      <c r="Z138" s="124"/>
      <c r="AA138" s="125"/>
      <c r="AB138" s="125"/>
    </row>
    <row r="139" spans="10:28" ht="12" customHeight="1" x14ac:dyDescent="0.3">
      <c r="J139" s="97" t="s">
        <v>180</v>
      </c>
      <c r="M139" s="122">
        <v>46177</v>
      </c>
      <c r="N139" s="123" t="s">
        <v>159</v>
      </c>
      <c r="O139" s="123" t="s">
        <v>160</v>
      </c>
      <c r="Z139" s="124"/>
      <c r="AA139" s="125"/>
      <c r="AB139" s="125"/>
    </row>
    <row r="140" spans="10:28" ht="12" customHeight="1" x14ac:dyDescent="0.3">
      <c r="J140" s="97" t="s">
        <v>59</v>
      </c>
      <c r="M140" s="122">
        <v>46272</v>
      </c>
      <c r="N140" s="123" t="s">
        <v>144</v>
      </c>
      <c r="O140" s="123" t="s">
        <v>163</v>
      </c>
      <c r="Z140" s="124"/>
      <c r="AA140" s="125"/>
      <c r="AB140" s="125"/>
    </row>
    <row r="141" spans="10:28" ht="12" customHeight="1" thickBot="1" x14ac:dyDescent="0.35">
      <c r="J141" s="98" t="s">
        <v>179</v>
      </c>
      <c r="M141" s="122">
        <v>46307</v>
      </c>
      <c r="N141" s="123" t="s">
        <v>144</v>
      </c>
      <c r="O141" s="123" t="s">
        <v>174</v>
      </c>
      <c r="Z141" s="124"/>
      <c r="AA141" s="125"/>
      <c r="AB141" s="125"/>
    </row>
    <row r="142" spans="10:28" ht="12" customHeight="1" x14ac:dyDescent="0.3">
      <c r="M142" s="122">
        <v>46328</v>
      </c>
      <c r="N142" s="123" t="s">
        <v>144</v>
      </c>
      <c r="O142" s="123" t="s">
        <v>165</v>
      </c>
      <c r="Z142" s="124"/>
      <c r="AA142" s="125"/>
      <c r="AB142" s="125"/>
    </row>
    <row r="143" spans="10:28" ht="12" customHeight="1" x14ac:dyDescent="0.3">
      <c r="M143" s="122">
        <v>46341</v>
      </c>
      <c r="N143" s="123" t="s">
        <v>153</v>
      </c>
      <c r="O143" s="123" t="s">
        <v>167</v>
      </c>
      <c r="Z143" s="124"/>
      <c r="AA143" s="125"/>
      <c r="AB143" s="125"/>
    </row>
    <row r="144" spans="10:28" ht="12" customHeight="1" x14ac:dyDescent="0.3">
      <c r="M144" s="122">
        <v>46381</v>
      </c>
      <c r="N144" s="123" t="s">
        <v>150</v>
      </c>
      <c r="O144" s="123" t="s">
        <v>169</v>
      </c>
      <c r="Z144" s="124"/>
      <c r="AA144" s="125"/>
      <c r="AB144" s="125"/>
    </row>
    <row r="145" spans="13:28" ht="12" customHeight="1" x14ac:dyDescent="0.3">
      <c r="M145" s="122">
        <v>46388</v>
      </c>
      <c r="N145" s="123" t="s">
        <v>150</v>
      </c>
      <c r="O145" s="123" t="s">
        <v>145</v>
      </c>
      <c r="Z145" s="124"/>
      <c r="AA145" s="125"/>
      <c r="AB145" s="125"/>
    </row>
    <row r="146" spans="13:28" ht="12" customHeight="1" x14ac:dyDescent="0.3">
      <c r="M146" s="122">
        <v>46426</v>
      </c>
      <c r="N146" s="123" t="s">
        <v>144</v>
      </c>
      <c r="O146" s="123" t="s">
        <v>147</v>
      </c>
    </row>
    <row r="147" spans="13:28" ht="12" customHeight="1" x14ac:dyDescent="0.3">
      <c r="M147" s="122">
        <v>46427</v>
      </c>
      <c r="N147" s="123" t="s">
        <v>149</v>
      </c>
      <c r="O147" s="123" t="s">
        <v>147</v>
      </c>
    </row>
    <row r="148" spans="13:28" ht="12" customHeight="1" x14ac:dyDescent="0.3">
      <c r="M148" s="122">
        <v>46472</v>
      </c>
      <c r="N148" s="123" t="s">
        <v>150</v>
      </c>
      <c r="O148" s="123" t="s">
        <v>151</v>
      </c>
    </row>
    <row r="149" spans="13:28" ht="12" customHeight="1" x14ac:dyDescent="0.3">
      <c r="M149" s="122">
        <v>46498</v>
      </c>
      <c r="N149" s="123" t="s">
        <v>156</v>
      </c>
      <c r="O149" s="123" t="s">
        <v>154</v>
      </c>
    </row>
    <row r="150" spans="13:28" ht="12" customHeight="1" x14ac:dyDescent="0.3">
      <c r="M150" s="122">
        <v>46508</v>
      </c>
      <c r="N150" s="123" t="s">
        <v>162</v>
      </c>
      <c r="O150" s="123" t="s">
        <v>157</v>
      </c>
    </row>
    <row r="151" spans="13:28" ht="12" customHeight="1" x14ac:dyDescent="0.3">
      <c r="M151" s="122">
        <v>46534</v>
      </c>
      <c r="N151" s="123" t="s">
        <v>159</v>
      </c>
      <c r="O151" s="123" t="s">
        <v>160</v>
      </c>
    </row>
    <row r="152" spans="13:28" ht="12" customHeight="1" x14ac:dyDescent="0.3">
      <c r="M152" s="122">
        <v>46637</v>
      </c>
      <c r="N152" s="123" t="s">
        <v>149</v>
      </c>
      <c r="O152" s="123" t="s">
        <v>163</v>
      </c>
    </row>
    <row r="153" spans="13:28" ht="12" customHeight="1" x14ac:dyDescent="0.3">
      <c r="M153" s="122">
        <v>46672</v>
      </c>
      <c r="N153" s="123" t="s">
        <v>149</v>
      </c>
      <c r="O153" s="123" t="s">
        <v>174</v>
      </c>
    </row>
    <row r="154" spans="13:28" ht="12" customHeight="1" x14ac:dyDescent="0.3">
      <c r="M154" s="122">
        <v>46693</v>
      </c>
      <c r="N154" s="123" t="s">
        <v>149</v>
      </c>
      <c r="O154" s="123" t="s">
        <v>165</v>
      </c>
    </row>
    <row r="155" spans="13:28" ht="12" customHeight="1" x14ac:dyDescent="0.3">
      <c r="M155" s="122">
        <v>46706</v>
      </c>
      <c r="N155" s="123" t="s">
        <v>144</v>
      </c>
      <c r="O155" s="123" t="s">
        <v>167</v>
      </c>
    </row>
    <row r="156" spans="13:28" ht="12" customHeight="1" x14ac:dyDescent="0.3">
      <c r="M156" s="122">
        <v>46746</v>
      </c>
      <c r="N156" s="123" t="s">
        <v>162</v>
      </c>
      <c r="O156" s="123" t="s">
        <v>169</v>
      </c>
    </row>
    <row r="157" spans="13:28" ht="12" customHeight="1" x14ac:dyDescent="0.3">
      <c r="M157" s="122">
        <v>46753</v>
      </c>
      <c r="N157" s="123" t="s">
        <v>162</v>
      </c>
      <c r="O157" s="123" t="s">
        <v>145</v>
      </c>
    </row>
    <row r="158" spans="13:28" ht="12" customHeight="1" x14ac:dyDescent="0.3">
      <c r="M158" s="122">
        <v>46811</v>
      </c>
      <c r="N158" s="123" t="s">
        <v>144</v>
      </c>
      <c r="O158" s="123" t="s">
        <v>147</v>
      </c>
    </row>
    <row r="159" spans="13:28" ht="12" customHeight="1" x14ac:dyDescent="0.3">
      <c r="M159" s="122">
        <v>46812</v>
      </c>
      <c r="N159" s="123" t="s">
        <v>149</v>
      </c>
      <c r="O159" s="123" t="s">
        <v>147</v>
      </c>
    </row>
    <row r="160" spans="13:28" ht="12" customHeight="1" x14ac:dyDescent="0.3">
      <c r="M160" s="122">
        <v>46857</v>
      </c>
      <c r="N160" s="123" t="s">
        <v>150</v>
      </c>
      <c r="O160" s="123" t="s">
        <v>151</v>
      </c>
    </row>
    <row r="161" spans="13:15" ht="12" customHeight="1" x14ac:dyDescent="0.3">
      <c r="M161" s="122">
        <v>46864</v>
      </c>
      <c r="N161" s="123" t="s">
        <v>150</v>
      </c>
      <c r="O161" s="123" t="s">
        <v>154</v>
      </c>
    </row>
    <row r="162" spans="13:15" ht="12" customHeight="1" x14ac:dyDescent="0.3">
      <c r="M162" s="122">
        <v>46874</v>
      </c>
      <c r="N162" s="123" t="s">
        <v>144</v>
      </c>
      <c r="O162" s="123" t="s">
        <v>157</v>
      </c>
    </row>
    <row r="163" spans="13:15" ht="12" customHeight="1" x14ac:dyDescent="0.3">
      <c r="M163" s="122">
        <v>46919</v>
      </c>
      <c r="N163" s="123" t="s">
        <v>159</v>
      </c>
      <c r="O163" s="123" t="s">
        <v>160</v>
      </c>
    </row>
    <row r="164" spans="13:15" ht="12" customHeight="1" x14ac:dyDescent="0.3">
      <c r="M164" s="122">
        <v>47003</v>
      </c>
      <c r="N164" s="123" t="s">
        <v>159</v>
      </c>
      <c r="O164" s="123" t="s">
        <v>163</v>
      </c>
    </row>
    <row r="165" spans="13:15" ht="12" customHeight="1" x14ac:dyDescent="0.3">
      <c r="M165" s="122">
        <v>47038</v>
      </c>
      <c r="N165" s="123" t="s">
        <v>159</v>
      </c>
      <c r="O165" s="123" t="s">
        <v>174</v>
      </c>
    </row>
    <row r="166" spans="13:15" ht="12" customHeight="1" x14ac:dyDescent="0.3">
      <c r="M166" s="122">
        <v>47059</v>
      </c>
      <c r="N166" s="123" t="s">
        <v>159</v>
      </c>
      <c r="O166" s="123" t="s">
        <v>165</v>
      </c>
    </row>
    <row r="167" spans="13:15" ht="12" customHeight="1" x14ac:dyDescent="0.3">
      <c r="M167" s="122">
        <v>47072</v>
      </c>
      <c r="N167" s="123" t="s">
        <v>156</v>
      </c>
      <c r="O167" s="123" t="s">
        <v>167</v>
      </c>
    </row>
    <row r="168" spans="13:15" ht="12" customHeight="1" x14ac:dyDescent="0.3">
      <c r="M168" s="122">
        <v>47112</v>
      </c>
      <c r="N168" s="123" t="s">
        <v>144</v>
      </c>
      <c r="O168" s="123" t="s">
        <v>169</v>
      </c>
    </row>
    <row r="169" spans="13:15" ht="12" customHeight="1" x14ac:dyDescent="0.3">
      <c r="M169" s="122">
        <v>47119</v>
      </c>
      <c r="N169" s="123" t="s">
        <v>144</v>
      </c>
      <c r="O169" s="123" t="s">
        <v>145</v>
      </c>
    </row>
    <row r="170" spans="13:15" ht="12" customHeight="1" x14ac:dyDescent="0.3">
      <c r="M170" s="122">
        <v>47161</v>
      </c>
      <c r="N170" s="123" t="s">
        <v>144</v>
      </c>
      <c r="O170" s="123" t="s">
        <v>147</v>
      </c>
    </row>
    <row r="171" spans="13:15" ht="12" customHeight="1" x14ac:dyDescent="0.3">
      <c r="M171" s="122">
        <v>47162</v>
      </c>
      <c r="N171" s="123" t="s">
        <v>149</v>
      </c>
      <c r="O171" s="123" t="s">
        <v>147</v>
      </c>
    </row>
    <row r="172" spans="13:15" ht="12" customHeight="1" x14ac:dyDescent="0.3">
      <c r="M172" s="122">
        <v>47207</v>
      </c>
      <c r="N172" s="123" t="s">
        <v>150</v>
      </c>
      <c r="O172" s="123" t="s">
        <v>151</v>
      </c>
    </row>
    <row r="173" spans="13:15" ht="12" customHeight="1" x14ac:dyDescent="0.3">
      <c r="M173" s="122">
        <v>47229</v>
      </c>
      <c r="N173" s="123" t="s">
        <v>162</v>
      </c>
      <c r="O173" s="123" t="s">
        <v>154</v>
      </c>
    </row>
    <row r="174" spans="13:15" ht="12" customHeight="1" x14ac:dyDescent="0.3">
      <c r="M174" s="122">
        <v>47239</v>
      </c>
      <c r="N174" s="123" t="s">
        <v>149</v>
      </c>
      <c r="O174" s="123" t="s">
        <v>157</v>
      </c>
    </row>
    <row r="175" spans="13:15" ht="12" customHeight="1" x14ac:dyDescent="0.3">
      <c r="M175" s="122">
        <v>47269</v>
      </c>
      <c r="N175" s="123" t="s">
        <v>159</v>
      </c>
      <c r="O175" s="123" t="s">
        <v>160</v>
      </c>
    </row>
    <row r="176" spans="13:15" ht="12" customHeight="1" x14ac:dyDescent="0.3">
      <c r="M176" s="122">
        <v>47368</v>
      </c>
      <c r="N176" s="123" t="s">
        <v>150</v>
      </c>
      <c r="O176" s="123" t="s">
        <v>163</v>
      </c>
    </row>
    <row r="177" spans="13:15" ht="12" customHeight="1" x14ac:dyDescent="0.3">
      <c r="M177" s="122">
        <v>47403</v>
      </c>
      <c r="N177" s="123" t="s">
        <v>150</v>
      </c>
      <c r="O177" s="123" t="s">
        <v>174</v>
      </c>
    </row>
    <row r="178" spans="13:15" ht="12" customHeight="1" x14ac:dyDescent="0.3">
      <c r="M178" s="122">
        <v>47424</v>
      </c>
      <c r="N178" s="123" t="s">
        <v>150</v>
      </c>
      <c r="O178" s="123" t="s">
        <v>165</v>
      </c>
    </row>
    <row r="179" spans="13:15" ht="12" customHeight="1" x14ac:dyDescent="0.3">
      <c r="M179" s="122">
        <v>47437</v>
      </c>
      <c r="N179" s="123" t="s">
        <v>159</v>
      </c>
      <c r="O179" s="123" t="s">
        <v>167</v>
      </c>
    </row>
    <row r="180" spans="13:15" ht="12" customHeight="1" x14ac:dyDescent="0.3">
      <c r="M180" s="122">
        <v>47477</v>
      </c>
      <c r="N180" s="123" t="s">
        <v>149</v>
      </c>
      <c r="O180" s="123" t="s">
        <v>169</v>
      </c>
    </row>
    <row r="181" spans="13:15" ht="12" customHeight="1" x14ac:dyDescent="0.3">
      <c r="M181" s="122">
        <v>47484</v>
      </c>
      <c r="N181" s="123" t="s">
        <v>149</v>
      </c>
      <c r="O181" s="123" t="s">
        <v>145</v>
      </c>
    </row>
    <row r="182" spans="13:15" ht="12" customHeight="1" x14ac:dyDescent="0.3">
      <c r="M182" s="122">
        <v>47546</v>
      </c>
      <c r="N182" s="123" t="s">
        <v>144</v>
      </c>
      <c r="O182" s="123" t="s">
        <v>147</v>
      </c>
    </row>
    <row r="183" spans="13:15" ht="12" customHeight="1" x14ac:dyDescent="0.3">
      <c r="M183" s="122">
        <v>47547</v>
      </c>
      <c r="N183" s="123" t="s">
        <v>149</v>
      </c>
      <c r="O183" s="123" t="s">
        <v>147</v>
      </c>
    </row>
    <row r="184" spans="13:15" ht="12" customHeight="1" x14ac:dyDescent="0.3">
      <c r="M184" s="122">
        <v>47592</v>
      </c>
      <c r="N184" s="123" t="s">
        <v>150</v>
      </c>
      <c r="O184" s="123" t="s">
        <v>151</v>
      </c>
    </row>
    <row r="185" spans="13:15" ht="12" customHeight="1" x14ac:dyDescent="0.3">
      <c r="M185" s="122">
        <v>47594</v>
      </c>
      <c r="N185" s="123" t="s">
        <v>153</v>
      </c>
      <c r="O185" s="123" t="s">
        <v>154</v>
      </c>
    </row>
    <row r="186" spans="13:15" ht="12" customHeight="1" x14ac:dyDescent="0.3">
      <c r="M186" s="122">
        <v>47604</v>
      </c>
      <c r="N186" s="123" t="s">
        <v>156</v>
      </c>
      <c r="O186" s="123" t="s">
        <v>157</v>
      </c>
    </row>
    <row r="187" spans="13:15" ht="12" customHeight="1" x14ac:dyDescent="0.3">
      <c r="M187" s="122">
        <v>47654</v>
      </c>
      <c r="N187" s="123" t="s">
        <v>159</v>
      </c>
      <c r="O187" s="123" t="s">
        <v>160</v>
      </c>
    </row>
    <row r="188" spans="13:15" ht="12" customHeight="1" x14ac:dyDescent="0.3">
      <c r="M188" s="122">
        <v>47733</v>
      </c>
      <c r="N188" s="123" t="s">
        <v>162</v>
      </c>
      <c r="O188" s="123" t="s">
        <v>163</v>
      </c>
    </row>
    <row r="189" spans="13:15" ht="12" customHeight="1" x14ac:dyDescent="0.3">
      <c r="M189" s="122">
        <v>47768</v>
      </c>
      <c r="N189" s="123" t="s">
        <v>162</v>
      </c>
      <c r="O189" s="123" t="s">
        <v>174</v>
      </c>
    </row>
    <row r="190" spans="13:15" ht="12" customHeight="1" x14ac:dyDescent="0.3">
      <c r="M190" s="122">
        <v>47789</v>
      </c>
      <c r="N190" s="123" t="s">
        <v>162</v>
      </c>
      <c r="O190" s="123" t="s">
        <v>165</v>
      </c>
    </row>
    <row r="191" spans="13:15" ht="12" customHeight="1" x14ac:dyDescent="0.3">
      <c r="M191" s="122">
        <v>47802</v>
      </c>
      <c r="N191" s="123" t="s">
        <v>150</v>
      </c>
      <c r="O191" s="123" t="s">
        <v>167</v>
      </c>
    </row>
    <row r="192" spans="13:15" ht="12" customHeight="1" x14ac:dyDescent="0.3">
      <c r="M192" s="122">
        <v>47842</v>
      </c>
      <c r="N192" s="123" t="s">
        <v>156</v>
      </c>
      <c r="O192" s="123" t="s">
        <v>169</v>
      </c>
    </row>
    <row r="229" spans="13:13" ht="12" customHeight="1" x14ac:dyDescent="0.3">
      <c r="M229" s="102"/>
    </row>
    <row r="230" spans="13:13" ht="12" customHeight="1" x14ac:dyDescent="0.3">
      <c r="M230" s="102"/>
    </row>
    <row r="231" spans="13:13" ht="12" customHeight="1" x14ac:dyDescent="0.3">
      <c r="M231" s="102"/>
    </row>
    <row r="232" spans="13:13" ht="12" customHeight="1" x14ac:dyDescent="0.3">
      <c r="M232" s="102"/>
    </row>
    <row r="233" spans="13:13" ht="12" customHeight="1" x14ac:dyDescent="0.3">
      <c r="M233" s="102"/>
    </row>
    <row r="234" spans="13:13" ht="12" customHeight="1" x14ac:dyDescent="0.3">
      <c r="M234" s="102"/>
    </row>
    <row r="235" spans="13:13" ht="12" customHeight="1" x14ac:dyDescent="0.3">
      <c r="M235" s="102"/>
    </row>
    <row r="236" spans="13:13" ht="12" customHeight="1" x14ac:dyDescent="0.3">
      <c r="M236" s="102"/>
    </row>
    <row r="237" spans="13:13" ht="12" customHeight="1" x14ac:dyDescent="0.3">
      <c r="M237" s="102"/>
    </row>
    <row r="238" spans="13:13" ht="12" customHeight="1" x14ac:dyDescent="0.3">
      <c r="M238" s="102"/>
    </row>
    <row r="239" spans="13:13" ht="12" customHeight="1" x14ac:dyDescent="0.3">
      <c r="M239" s="102"/>
    </row>
    <row r="240" spans="13:13" ht="12" customHeight="1" x14ac:dyDescent="0.3">
      <c r="M240" s="102"/>
    </row>
    <row r="241" spans="13:13" ht="12" customHeight="1" x14ac:dyDescent="0.3">
      <c r="M241" s="102"/>
    </row>
    <row r="242" spans="13:13" ht="12" customHeight="1" x14ac:dyDescent="0.3">
      <c r="M242" s="102"/>
    </row>
    <row r="243" spans="13:13" ht="12" customHeight="1" x14ac:dyDescent="0.3">
      <c r="M243" s="102"/>
    </row>
    <row r="244" spans="13:13" ht="12" customHeight="1" x14ac:dyDescent="0.3">
      <c r="M244" s="102"/>
    </row>
    <row r="245" spans="13:13" ht="12" customHeight="1" x14ac:dyDescent="0.3">
      <c r="M245" s="102"/>
    </row>
    <row r="246" spans="13:13" ht="12" customHeight="1" x14ac:dyDescent="0.3">
      <c r="M246" s="102"/>
    </row>
    <row r="247" spans="13:13" ht="12" customHeight="1" x14ac:dyDescent="0.3">
      <c r="M247" s="102"/>
    </row>
    <row r="248" spans="13:13" ht="12" customHeight="1" x14ac:dyDescent="0.3">
      <c r="M248" s="102"/>
    </row>
    <row r="249" spans="13:13" ht="12" customHeight="1" x14ac:dyDescent="0.3">
      <c r="M249" s="102"/>
    </row>
    <row r="250" spans="13:13" ht="12" customHeight="1" x14ac:dyDescent="0.3">
      <c r="M250" s="102"/>
    </row>
    <row r="251" spans="13:13" ht="12" customHeight="1" x14ac:dyDescent="0.3">
      <c r="M251" s="102"/>
    </row>
    <row r="252" spans="13:13" ht="12" customHeight="1" x14ac:dyDescent="0.3">
      <c r="M252" s="102"/>
    </row>
    <row r="253" spans="13:13" ht="12" customHeight="1" x14ac:dyDescent="0.3">
      <c r="M253" s="102"/>
    </row>
    <row r="254" spans="13:13" ht="12" customHeight="1" x14ac:dyDescent="0.3">
      <c r="M254" s="102"/>
    </row>
    <row r="255" spans="13:13" ht="12" customHeight="1" x14ac:dyDescent="0.3">
      <c r="M255" s="102"/>
    </row>
    <row r="256" spans="13:13" ht="12" customHeight="1" x14ac:dyDescent="0.3">
      <c r="M256" s="102"/>
    </row>
    <row r="257" spans="13:13" ht="12" customHeight="1" x14ac:dyDescent="0.3">
      <c r="M257" s="102"/>
    </row>
    <row r="258" spans="13:13" ht="12" customHeight="1" x14ac:dyDescent="0.3">
      <c r="M258" s="102"/>
    </row>
    <row r="259" spans="13:13" ht="12" customHeight="1" x14ac:dyDescent="0.3">
      <c r="M259" s="102"/>
    </row>
    <row r="260" spans="13:13" ht="12" customHeight="1" x14ac:dyDescent="0.3">
      <c r="M260" s="102"/>
    </row>
    <row r="261" spans="13:13" ht="12" customHeight="1" x14ac:dyDescent="0.3">
      <c r="M261" s="102"/>
    </row>
    <row r="262" spans="13:13" ht="12" customHeight="1" x14ac:dyDescent="0.3">
      <c r="M262" s="102"/>
    </row>
    <row r="263" spans="13:13" ht="12" customHeight="1" x14ac:dyDescent="0.3">
      <c r="M263" s="102"/>
    </row>
    <row r="264" spans="13:13" ht="12" customHeight="1" x14ac:dyDescent="0.3">
      <c r="M264" s="102"/>
    </row>
    <row r="265" spans="13:13" ht="12" customHeight="1" x14ac:dyDescent="0.3">
      <c r="M265" s="102"/>
    </row>
    <row r="266" spans="13:13" ht="12" customHeight="1" x14ac:dyDescent="0.3">
      <c r="M266" s="102"/>
    </row>
    <row r="267" spans="13:13" ht="12" customHeight="1" x14ac:dyDescent="0.3">
      <c r="M267" s="102"/>
    </row>
    <row r="268" spans="13:13" ht="12" customHeight="1" x14ac:dyDescent="0.3">
      <c r="M268" s="102"/>
    </row>
    <row r="269" spans="13:13" ht="12" customHeight="1" x14ac:dyDescent="0.3">
      <c r="M269" s="102"/>
    </row>
    <row r="270" spans="13:13" ht="12" customHeight="1" x14ac:dyDescent="0.3">
      <c r="M270" s="102"/>
    </row>
    <row r="271" spans="13:13" ht="12" customHeight="1" x14ac:dyDescent="0.3">
      <c r="M271" s="102"/>
    </row>
    <row r="272" spans="13:13" ht="12" customHeight="1" x14ac:dyDescent="0.3">
      <c r="M272" s="102"/>
    </row>
    <row r="273" spans="13:13" ht="12" customHeight="1" x14ac:dyDescent="0.3">
      <c r="M273" s="102"/>
    </row>
    <row r="274" spans="13:13" ht="12" customHeight="1" x14ac:dyDescent="0.3">
      <c r="M274" s="102"/>
    </row>
    <row r="275" spans="13:13" ht="12" customHeight="1" x14ac:dyDescent="0.3">
      <c r="M275" s="102"/>
    </row>
    <row r="276" spans="13:13" ht="12" customHeight="1" x14ac:dyDescent="0.3">
      <c r="M276" s="102"/>
    </row>
    <row r="277" spans="13:13" ht="12" customHeight="1" x14ac:dyDescent="0.3">
      <c r="M277" s="102"/>
    </row>
    <row r="278" spans="13:13" ht="12" customHeight="1" x14ac:dyDescent="0.3">
      <c r="M278" s="102"/>
    </row>
    <row r="279" spans="13:13" ht="12" customHeight="1" x14ac:dyDescent="0.3">
      <c r="M279" s="102"/>
    </row>
    <row r="280" spans="13:13" ht="12" customHeight="1" x14ac:dyDescent="0.3">
      <c r="M280" s="102"/>
    </row>
    <row r="281" spans="13:13" ht="12" customHeight="1" x14ac:dyDescent="0.3">
      <c r="M281" s="102"/>
    </row>
    <row r="282" spans="13:13" ht="12" customHeight="1" x14ac:dyDescent="0.3">
      <c r="M282" s="102"/>
    </row>
    <row r="283" spans="13:13" ht="12" customHeight="1" x14ac:dyDescent="0.3">
      <c r="M283" s="102"/>
    </row>
    <row r="284" spans="13:13" ht="12" customHeight="1" x14ac:dyDescent="0.3">
      <c r="M284" s="102"/>
    </row>
    <row r="285" spans="13:13" ht="12" customHeight="1" x14ac:dyDescent="0.3">
      <c r="M285" s="102"/>
    </row>
    <row r="286" spans="13:13" ht="12" customHeight="1" x14ac:dyDescent="0.3">
      <c r="M286" s="102"/>
    </row>
    <row r="287" spans="13:13" ht="12" customHeight="1" x14ac:dyDescent="0.3">
      <c r="M287" s="102"/>
    </row>
    <row r="288" spans="13:13" ht="12" customHeight="1" x14ac:dyDescent="0.3">
      <c r="M288" s="102"/>
    </row>
    <row r="289" spans="13:13" ht="12" customHeight="1" x14ac:dyDescent="0.3">
      <c r="M289" s="102"/>
    </row>
    <row r="290" spans="13:13" ht="12" customHeight="1" x14ac:dyDescent="0.3">
      <c r="M290" s="102"/>
    </row>
    <row r="291" spans="13:13" ht="12" customHeight="1" x14ac:dyDescent="0.3">
      <c r="M291" s="102"/>
    </row>
    <row r="292" spans="13:13" ht="12" customHeight="1" x14ac:dyDescent="0.3">
      <c r="M292" s="102"/>
    </row>
    <row r="293" spans="13:13" ht="12" customHeight="1" x14ac:dyDescent="0.3">
      <c r="M293" s="102"/>
    </row>
    <row r="294" spans="13:13" ht="12" customHeight="1" x14ac:dyDescent="0.3">
      <c r="M294" s="102"/>
    </row>
    <row r="295" spans="13:13" ht="12" customHeight="1" x14ac:dyDescent="0.3">
      <c r="M295" s="102"/>
    </row>
    <row r="296" spans="13:13" ht="12" customHeight="1" x14ac:dyDescent="0.3">
      <c r="M296" s="102"/>
    </row>
    <row r="297" spans="13:13" ht="12" customHeight="1" x14ac:dyDescent="0.3">
      <c r="M297" s="102"/>
    </row>
    <row r="298" spans="13:13" ht="12" customHeight="1" x14ac:dyDescent="0.3">
      <c r="M298" s="102"/>
    </row>
    <row r="299" spans="13:13" ht="12" customHeight="1" x14ac:dyDescent="0.3">
      <c r="M299" s="102"/>
    </row>
    <row r="300" spans="13:13" ht="12" customHeight="1" x14ac:dyDescent="0.3">
      <c r="M300" s="102"/>
    </row>
    <row r="301" spans="13:13" ht="12" customHeight="1" x14ac:dyDescent="0.3">
      <c r="M301" s="102"/>
    </row>
    <row r="302" spans="13:13" ht="12" customHeight="1" x14ac:dyDescent="0.3">
      <c r="M302" s="102"/>
    </row>
    <row r="303" spans="13:13" ht="12" customHeight="1" x14ac:dyDescent="0.3">
      <c r="M303" s="102"/>
    </row>
    <row r="304" spans="13:13" ht="12" customHeight="1" x14ac:dyDescent="0.3">
      <c r="M304" s="102"/>
    </row>
    <row r="305" spans="13:13" ht="12" customHeight="1" x14ac:dyDescent="0.3">
      <c r="M305" s="102"/>
    </row>
    <row r="306" spans="13:13" ht="12" customHeight="1" x14ac:dyDescent="0.3">
      <c r="M306" s="102"/>
    </row>
    <row r="307" spans="13:13" ht="12" customHeight="1" x14ac:dyDescent="0.3">
      <c r="M307" s="102"/>
    </row>
    <row r="308" spans="13:13" ht="12" customHeight="1" x14ac:dyDescent="0.3">
      <c r="M308" s="102"/>
    </row>
    <row r="309" spans="13:13" ht="12" customHeight="1" x14ac:dyDescent="0.3">
      <c r="M309" s="102"/>
    </row>
    <row r="310" spans="13:13" ht="12" customHeight="1" x14ac:dyDescent="0.3">
      <c r="M310" s="102"/>
    </row>
    <row r="311" spans="13:13" ht="12" customHeight="1" x14ac:dyDescent="0.3">
      <c r="M311" s="102"/>
    </row>
    <row r="312" spans="13:13" ht="12" customHeight="1" x14ac:dyDescent="0.3">
      <c r="M312" s="102"/>
    </row>
    <row r="313" spans="13:13" ht="12" customHeight="1" x14ac:dyDescent="0.3">
      <c r="M313" s="102"/>
    </row>
    <row r="314" spans="13:13" ht="12" customHeight="1" x14ac:dyDescent="0.3">
      <c r="M314" s="102"/>
    </row>
    <row r="315" spans="13:13" ht="12" customHeight="1" x14ac:dyDescent="0.3">
      <c r="M315" s="102"/>
    </row>
    <row r="316" spans="13:13" ht="12" customHeight="1" x14ac:dyDescent="0.3">
      <c r="M316" s="102"/>
    </row>
    <row r="317" spans="13:13" ht="12" customHeight="1" x14ac:dyDescent="0.3">
      <c r="M317" s="102"/>
    </row>
    <row r="318" spans="13:13" ht="12" customHeight="1" x14ac:dyDescent="0.3">
      <c r="M318" s="102"/>
    </row>
    <row r="319" spans="13:13" ht="12" customHeight="1" x14ac:dyDescent="0.3">
      <c r="M319" s="102"/>
    </row>
    <row r="320" spans="13:13" ht="12" customHeight="1" x14ac:dyDescent="0.3">
      <c r="M320" s="102"/>
    </row>
    <row r="321" spans="13:13" ht="12" customHeight="1" x14ac:dyDescent="0.3">
      <c r="M321" s="102"/>
    </row>
    <row r="322" spans="13:13" ht="12" customHeight="1" x14ac:dyDescent="0.3">
      <c r="M322" s="102"/>
    </row>
    <row r="323" spans="13:13" ht="12" customHeight="1" x14ac:dyDescent="0.3">
      <c r="M323" s="102"/>
    </row>
    <row r="324" spans="13:13" ht="12" customHeight="1" x14ac:dyDescent="0.3">
      <c r="M324" s="102"/>
    </row>
    <row r="325" spans="13:13" ht="12" customHeight="1" x14ac:dyDescent="0.3">
      <c r="M325" s="102"/>
    </row>
    <row r="326" spans="13:13" ht="12" customHeight="1" x14ac:dyDescent="0.3">
      <c r="M326" s="102"/>
    </row>
    <row r="327" spans="13:13" ht="12" customHeight="1" x14ac:dyDescent="0.3">
      <c r="M327" s="102"/>
    </row>
    <row r="328" spans="13:13" ht="12" customHeight="1" x14ac:dyDescent="0.3">
      <c r="M328" s="102"/>
    </row>
    <row r="329" spans="13:13" ht="12" customHeight="1" x14ac:dyDescent="0.3">
      <c r="M329" s="102"/>
    </row>
    <row r="330" spans="13:13" ht="12" customHeight="1" x14ac:dyDescent="0.3">
      <c r="M330" s="102"/>
    </row>
    <row r="331" spans="13:13" ht="12" customHeight="1" x14ac:dyDescent="0.3">
      <c r="M331" s="102"/>
    </row>
    <row r="332" spans="13:13" ht="12" customHeight="1" x14ac:dyDescent="0.3">
      <c r="M332" s="102"/>
    </row>
    <row r="333" spans="13:13" ht="12" customHeight="1" x14ac:dyDescent="0.3">
      <c r="M333" s="102"/>
    </row>
    <row r="334" spans="13:13" ht="12" customHeight="1" x14ac:dyDescent="0.3">
      <c r="M334" s="102"/>
    </row>
    <row r="335" spans="13:13" ht="12" customHeight="1" x14ac:dyDescent="0.3">
      <c r="M335" s="102"/>
    </row>
    <row r="336" spans="13:13" ht="12" customHeight="1" x14ac:dyDescent="0.3">
      <c r="M336" s="102"/>
    </row>
  </sheetData>
  <sheetProtection algorithmName="SHA-512" hashValue="mXdgLjIPS6PTqyAjsp0AUWxd66aTEv+o+8i2k2nfDPOUP1gImfnqHHXgJCmo0paGb62i6io8MvlINPNENXUi/A==" saltValue="9bo8W9/nauYlgw9pICNYBA==" spinCount="100000" sheet="1"/>
  <mergeCells count="89">
    <mergeCell ref="F69:G69"/>
    <mergeCell ref="F48:G48"/>
    <mergeCell ref="F49:G49"/>
    <mergeCell ref="F50:G50"/>
    <mergeCell ref="F51:G51"/>
    <mergeCell ref="F52:G52"/>
    <mergeCell ref="F59:G59"/>
    <mergeCell ref="F58:G58"/>
    <mergeCell ref="F57:G57"/>
    <mergeCell ref="F56:G56"/>
    <mergeCell ref="F55:G55"/>
    <mergeCell ref="F65:G65"/>
    <mergeCell ref="F63:G63"/>
    <mergeCell ref="F62:G62"/>
    <mergeCell ref="F61:G61"/>
    <mergeCell ref="F60:G60"/>
    <mergeCell ref="F39:G39"/>
    <mergeCell ref="F40:G40"/>
    <mergeCell ref="F43:G43"/>
    <mergeCell ref="F44:G44"/>
    <mergeCell ref="F45:G45"/>
    <mergeCell ref="D32:E32"/>
    <mergeCell ref="D33:E33"/>
    <mergeCell ref="D34:E34"/>
    <mergeCell ref="F32:G32"/>
    <mergeCell ref="F33:G33"/>
    <mergeCell ref="F34:G34"/>
    <mergeCell ref="D60:E60"/>
    <mergeCell ref="D61:E61"/>
    <mergeCell ref="D62:E62"/>
    <mergeCell ref="D63:E63"/>
    <mergeCell ref="D69:E69"/>
    <mergeCell ref="D55:E55"/>
    <mergeCell ref="D56:E56"/>
    <mergeCell ref="D57:E57"/>
    <mergeCell ref="D58:E58"/>
    <mergeCell ref="D59:E59"/>
    <mergeCell ref="D45:E45"/>
    <mergeCell ref="D51:E51"/>
    <mergeCell ref="D52:E52"/>
    <mergeCell ref="D54:E54"/>
    <mergeCell ref="D35:E35"/>
    <mergeCell ref="D39:E39"/>
    <mergeCell ref="D40:E40"/>
    <mergeCell ref="D43:E43"/>
    <mergeCell ref="D44:E44"/>
    <mergeCell ref="D12:G12"/>
    <mergeCell ref="D9:G9"/>
    <mergeCell ref="D8:G8"/>
    <mergeCell ref="D29:G29"/>
    <mergeCell ref="D28:G28"/>
    <mergeCell ref="D27:G27"/>
    <mergeCell ref="D25:G25"/>
    <mergeCell ref="D26:G26"/>
    <mergeCell ref="L104:N104"/>
    <mergeCell ref="L79:L81"/>
    <mergeCell ref="M77:M81"/>
    <mergeCell ref="N77:N81"/>
    <mergeCell ref="K77:L78"/>
    <mergeCell ref="K79:K81"/>
    <mergeCell ref="N82:N101"/>
    <mergeCell ref="B7:C7"/>
    <mergeCell ref="B8:C8"/>
    <mergeCell ref="B9:C9"/>
    <mergeCell ref="D19:G19"/>
    <mergeCell ref="D24:G24"/>
    <mergeCell ref="D23:G23"/>
    <mergeCell ref="D22:G22"/>
    <mergeCell ref="D21:G21"/>
    <mergeCell ref="D20:G20"/>
    <mergeCell ref="D18:G18"/>
    <mergeCell ref="D17:G17"/>
    <mergeCell ref="D13:G13"/>
    <mergeCell ref="D16:G16"/>
    <mergeCell ref="D7:G7"/>
    <mergeCell ref="D15:G15"/>
    <mergeCell ref="D14:G14"/>
    <mergeCell ref="P2:Q2"/>
    <mergeCell ref="D6:G6"/>
    <mergeCell ref="B2:G2"/>
    <mergeCell ref="B6:C6"/>
    <mergeCell ref="L2:M2"/>
    <mergeCell ref="B3:G4"/>
    <mergeCell ref="N2:O2"/>
    <mergeCell ref="P78:P81"/>
    <mergeCell ref="O78:O81"/>
    <mergeCell ref="Q77:Q81"/>
    <mergeCell ref="O77:P77"/>
    <mergeCell ref="J77:J81"/>
  </mergeCells>
  <phoneticPr fontId="0" type="noConversion"/>
  <conditionalFormatting sqref="F63">
    <cfRule type="expression" dxfId="4" priority="5">
      <formula>$L$66&gt;40%</formula>
    </cfRule>
  </conditionalFormatting>
  <conditionalFormatting sqref="F65">
    <cfRule type="cellIs" dxfId="3" priority="3" operator="greaterThanOrEqual">
      <formula>50000</formula>
    </cfRule>
    <cfRule type="cellIs" dxfId="2" priority="4" operator="greaterThanOrEqual">
      <formula>37500</formula>
    </cfRule>
  </conditionalFormatting>
  <conditionalFormatting sqref="F32:G32">
    <cfRule type="expression" dxfId="1" priority="2">
      <formula>$D$29="HS"</formula>
    </cfRule>
  </conditionalFormatting>
  <conditionalFormatting sqref="F33:G34">
    <cfRule type="expression" dxfId="0" priority="1">
      <formula>$D$29="Valor Fixo (oficina/bordo/bordo&amp;oficina)"</formula>
    </cfRule>
  </conditionalFormatting>
  <dataValidations count="10">
    <dataValidation type="list" allowBlank="1" showInputMessage="1" showErrorMessage="1" sqref="D24:F24" xr:uid="{CBA219D6-EB78-4927-B748-FE2F01E20B10}">
      <formula1>$J$120:$J$121</formula1>
    </dataValidation>
    <dataValidation type="list" allowBlank="1" showInputMessage="1" showErrorMessage="1" sqref="D14:F14" xr:uid="{FF2A4824-8A8D-4F29-B7B2-1CE32A332F48}">
      <formula1>$J$105:$J$106</formula1>
    </dataValidation>
    <dataValidation type="list" allowBlank="1" showInputMessage="1" showErrorMessage="1" sqref="D27:F27" xr:uid="{60CB027C-489E-410C-A16B-A9F4CA1F2545}">
      <formula1>$J$124:$J$125</formula1>
    </dataValidation>
    <dataValidation type="list" allowBlank="1" showInputMessage="1" showErrorMessage="1" sqref="D28:F28" xr:uid="{032B1C47-D27A-4116-853E-3012881519F6}">
      <formula1>$J$128:$J$129</formula1>
    </dataValidation>
    <dataValidation type="list" allowBlank="1" showInputMessage="1" showErrorMessage="1" sqref="D22:F22" xr:uid="{5CE2892C-33D9-408E-997B-5B4DBBAA247B}">
      <formula1>$J$114:$J$118</formula1>
    </dataValidation>
    <dataValidation type="list" allowBlank="1" showInputMessage="1" showErrorMessage="1" sqref="D20:G20" xr:uid="{358476E8-C999-4F80-9F2F-50964C4B4B13}">
      <formula1>$J$109:$J$111</formula1>
    </dataValidation>
    <dataValidation type="whole" operator="lessThanOrEqual" allowBlank="1" showInputMessage="1" showErrorMessage="1" sqref="D35" xr:uid="{42A87C8D-E8CF-49DE-A1F3-6BB389033DB7}">
      <formula1>12</formula1>
    </dataValidation>
    <dataValidation type="list" allowBlank="1" showInputMessage="1" showErrorMessage="1" sqref="D21:F21" xr:uid="{A67626F5-9C85-49A1-90A8-55045ACE0799}">
      <formula1>$J$82:$J$102</formula1>
    </dataValidation>
    <dataValidation type="list" allowBlank="1" showInputMessage="1" showErrorMessage="1" promptTitle="Erro na entrada de Dados" sqref="G29" xr:uid="{C39B22C7-D1E6-4352-9DFB-A86F5D976064}">
      <formula1>IF($D$20="Apenas em oficina",$J$138,IF($D$20="Apenas a bordo",$J$138:$J$139,J$140:$K$141))</formula1>
    </dataValidation>
    <dataValidation type="list" allowBlank="1" showInputMessage="1" showErrorMessage="1" promptTitle="Erro na entrada de Dados" sqref="D29:F29" xr:uid="{2D3BEB81-6083-4BC0-86F3-CE2AFAEEF64C}">
      <formula1>IF($D$20="Apenas em oficina",$J$138,IF($D$20="Apenas a bordo",$J$138:$J$139,J$140:$J$141))</formula1>
    </dataValidation>
  </dataValidations>
  <pageMargins left="0.9055118110236221" right="0.19685039370078741" top="0.98425196850393704" bottom="0.15748031496062992" header="0.31496062992125984" footer="0"/>
  <pageSetup paperSize="9" scale="64" orientation="portrait" horizontalDpi="4294967293" verticalDpi="4294967293" r:id="rId1"/>
  <headerFooter alignWithMargins="0">
    <oddHeader>&amp;R&amp;"Calibri"&amp;14&amp;K0078D7NP-1&amp;1#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P31"/>
  <sheetViews>
    <sheetView showGridLines="0" zoomScale="90" zoomScaleNormal="90" workbookViewId="0">
      <selection activeCell="B26" sqref="B26"/>
    </sheetView>
  </sheetViews>
  <sheetFormatPr defaultRowHeight="12.5" x14ac:dyDescent="0.25"/>
  <cols>
    <col min="1" max="1" width="58.453125" customWidth="1"/>
    <col min="2" max="2" width="10.1796875" style="1" customWidth="1"/>
    <col min="3" max="3" width="10.453125" style="1" bestFit="1" customWidth="1"/>
    <col min="4" max="4" width="7.26953125" style="1" customWidth="1"/>
    <col min="5" max="5" width="8.1796875" style="1" customWidth="1"/>
    <col min="6" max="6" width="12.7265625" customWidth="1"/>
    <col min="7" max="7" width="8.54296875" customWidth="1"/>
    <col min="8" max="8" width="2.1796875" customWidth="1"/>
    <col min="9" max="9" width="9.81640625" customWidth="1"/>
    <col min="11" max="11" width="13.81640625" bestFit="1" customWidth="1"/>
    <col min="15" max="15" width="13.81640625" bestFit="1" customWidth="1"/>
  </cols>
  <sheetData>
    <row r="1" spans="1:16" ht="17.25" customHeight="1" thickBot="1" x14ac:dyDescent="0.45">
      <c r="A1" s="35" t="s">
        <v>181</v>
      </c>
      <c r="B1" s="228">
        <v>45870</v>
      </c>
      <c r="C1" s="229"/>
    </row>
    <row r="2" spans="1:16" ht="13.5" customHeight="1" thickBot="1" x14ac:dyDescent="0.4">
      <c r="A2" s="36"/>
      <c r="B2" s="33"/>
    </row>
    <row r="3" spans="1:16" ht="13.5" thickBot="1" x14ac:dyDescent="0.35">
      <c r="A3" s="230" t="s">
        <v>182</v>
      </c>
      <c r="B3" s="240"/>
      <c r="C3" s="240"/>
      <c r="D3" s="240"/>
      <c r="E3" s="240"/>
      <c r="F3" s="240"/>
      <c r="G3" s="231"/>
      <c r="I3" s="230" t="s">
        <v>183</v>
      </c>
      <c r="J3" s="240"/>
      <c r="K3" s="240"/>
      <c r="L3" s="240"/>
      <c r="M3" s="240"/>
      <c r="N3" s="240"/>
      <c r="O3" s="231"/>
    </row>
    <row r="4" spans="1:16" ht="13" x14ac:dyDescent="0.3">
      <c r="A4" s="241" t="s">
        <v>184</v>
      </c>
      <c r="B4" s="243" t="s">
        <v>185</v>
      </c>
      <c r="C4" s="244"/>
      <c r="D4" s="245" t="s">
        <v>186</v>
      </c>
      <c r="E4" s="246"/>
      <c r="F4" s="247" t="s">
        <v>187</v>
      </c>
      <c r="G4" s="248"/>
      <c r="I4" s="34" t="s">
        <v>188</v>
      </c>
      <c r="J4" s="6"/>
      <c r="K4" s="6"/>
      <c r="L4" s="6"/>
      <c r="M4" s="6"/>
      <c r="N4" s="6"/>
      <c r="O4" s="7"/>
      <c r="P4" s="5"/>
    </row>
    <row r="5" spans="1:16" ht="12" customHeight="1" x14ac:dyDescent="0.3">
      <c r="A5" s="242"/>
      <c r="B5" s="14" t="s">
        <v>189</v>
      </c>
      <c r="C5" s="15" t="s">
        <v>190</v>
      </c>
      <c r="D5" s="15" t="s">
        <v>189</v>
      </c>
      <c r="E5" s="19" t="s">
        <v>190</v>
      </c>
      <c r="F5" s="249"/>
      <c r="G5" s="250"/>
      <c r="I5" s="8"/>
      <c r="J5" s="5"/>
      <c r="K5" s="5"/>
      <c r="L5" s="5"/>
      <c r="M5" s="5"/>
      <c r="N5" s="5"/>
      <c r="O5" s="9"/>
      <c r="P5" s="5"/>
    </row>
    <row r="6" spans="1:16" x14ac:dyDescent="0.25">
      <c r="A6" s="16" t="s">
        <v>191</v>
      </c>
      <c r="B6" s="49">
        <f>29346*2.22</f>
        <v>65148.12</v>
      </c>
      <c r="C6" s="49">
        <f>33000*2.22</f>
        <v>73260</v>
      </c>
      <c r="D6" s="38"/>
      <c r="E6" s="39"/>
      <c r="F6" s="251" t="s">
        <v>192</v>
      </c>
      <c r="G6" s="252"/>
      <c r="I6" s="10" t="s">
        <v>193</v>
      </c>
      <c r="M6" t="s">
        <v>194</v>
      </c>
      <c r="O6" s="11"/>
    </row>
    <row r="7" spans="1:16" x14ac:dyDescent="0.25">
      <c r="A7" s="2" t="s">
        <v>195</v>
      </c>
      <c r="B7" s="50"/>
      <c r="C7" s="50"/>
      <c r="D7" s="40">
        <f>B6/(10*20000)</f>
        <v>0.32574059999999999</v>
      </c>
      <c r="E7" s="41">
        <f>C6/(10*20000)</f>
        <v>0.36630000000000001</v>
      </c>
      <c r="F7" s="226"/>
      <c r="G7" s="227"/>
      <c r="I7" s="27" t="s">
        <v>196</v>
      </c>
      <c r="J7" s="28" t="s">
        <v>197</v>
      </c>
      <c r="K7" s="28" t="s">
        <v>198</v>
      </c>
      <c r="M7" s="28" t="s">
        <v>196</v>
      </c>
      <c r="N7" s="28" t="s">
        <v>197</v>
      </c>
      <c r="O7" s="31" t="s">
        <v>198</v>
      </c>
    </row>
    <row r="8" spans="1:16" x14ac:dyDescent="0.25">
      <c r="A8" s="2" t="s">
        <v>199</v>
      </c>
      <c r="B8" s="50"/>
      <c r="C8" s="50"/>
      <c r="D8" s="40">
        <f>(0.1*B6)/20000</f>
        <v>0.32574060000000005</v>
      </c>
      <c r="E8" s="41">
        <f>(0.1*C6)/20000</f>
        <v>0.36630000000000001</v>
      </c>
      <c r="F8" s="226" t="s">
        <v>200</v>
      </c>
      <c r="G8" s="227"/>
      <c r="I8" s="29">
        <v>276.39999999999998</v>
      </c>
      <c r="J8" s="30">
        <v>359.31</v>
      </c>
      <c r="K8" s="30">
        <v>359.31</v>
      </c>
      <c r="M8" s="30">
        <v>604.75</v>
      </c>
      <c r="N8" s="30">
        <v>786.18</v>
      </c>
      <c r="O8" s="32">
        <v>786.18</v>
      </c>
    </row>
    <row r="9" spans="1:16" x14ac:dyDescent="0.25">
      <c r="A9" s="2" t="s">
        <v>201</v>
      </c>
      <c r="B9" s="50">
        <f>3.2*2.22</f>
        <v>7.104000000000001</v>
      </c>
      <c r="C9" s="50">
        <f>3.6*2.22</f>
        <v>7.9920000000000009</v>
      </c>
      <c r="D9" s="40">
        <f>B9/10</f>
        <v>0.71040000000000014</v>
      </c>
      <c r="E9" s="41">
        <f>C9/10</f>
        <v>0.79920000000000013</v>
      </c>
      <c r="F9" s="226"/>
      <c r="G9" s="227"/>
      <c r="I9" s="10"/>
      <c r="O9" s="11"/>
    </row>
    <row r="10" spans="1:16" x14ac:dyDescent="0.25">
      <c r="A10" s="2" t="s">
        <v>202</v>
      </c>
      <c r="B10" s="50">
        <f>45*2.22</f>
        <v>99.9</v>
      </c>
      <c r="C10" s="50">
        <f>49.99*2.22</f>
        <v>110.97780000000002</v>
      </c>
      <c r="D10" s="147">
        <f>B10*3/7500</f>
        <v>3.9960000000000009E-2</v>
      </c>
      <c r="E10" s="41">
        <f>C10*3/7500</f>
        <v>4.4391120000000006E-2</v>
      </c>
      <c r="F10" s="226" t="s">
        <v>203</v>
      </c>
      <c r="G10" s="227"/>
      <c r="I10" s="12" t="s">
        <v>204</v>
      </c>
      <c r="J10" s="148"/>
      <c r="K10" s="148"/>
      <c r="L10" s="148"/>
      <c r="M10" s="148"/>
      <c r="N10" s="148"/>
      <c r="O10" s="149"/>
    </row>
    <row r="11" spans="1:16" x14ac:dyDescent="0.25">
      <c r="A11" s="2" t="s">
        <v>205</v>
      </c>
      <c r="B11" s="50">
        <f>313*2.22</f>
        <v>694.86</v>
      </c>
      <c r="C11" s="50">
        <f>375*2.22</f>
        <v>832.50000000000011</v>
      </c>
      <c r="D11" s="147">
        <f>B11*4/45000</f>
        <v>6.1765333333333332E-2</v>
      </c>
      <c r="E11" s="41">
        <f>C11*4/45000</f>
        <v>7.400000000000001E-2</v>
      </c>
      <c r="F11" s="226" t="s">
        <v>203</v>
      </c>
      <c r="G11" s="227"/>
      <c r="I11" s="46" t="s">
        <v>206</v>
      </c>
      <c r="J11" s="148"/>
      <c r="K11" s="148"/>
      <c r="L11" s="148"/>
      <c r="M11" s="148"/>
      <c r="N11" s="148"/>
      <c r="O11" s="149"/>
      <c r="P11" s="148"/>
    </row>
    <row r="12" spans="1:16" x14ac:dyDescent="0.25">
      <c r="A12" s="2" t="s">
        <v>207</v>
      </c>
      <c r="B12" s="50">
        <f>924*2.22</f>
        <v>2051.2800000000002</v>
      </c>
      <c r="C12" s="50">
        <f>1244*2.22</f>
        <v>2761.6800000000003</v>
      </c>
      <c r="D12" s="147">
        <f>B12/30000</f>
        <v>6.8376000000000006E-2</v>
      </c>
      <c r="E12" s="41">
        <f>C12/30000</f>
        <v>9.2056000000000013E-2</v>
      </c>
      <c r="F12" s="226" t="s">
        <v>203</v>
      </c>
      <c r="G12" s="227"/>
      <c r="I12" s="10"/>
      <c r="O12" s="11"/>
      <c r="P12" s="148"/>
    </row>
    <row r="13" spans="1:16" x14ac:dyDescent="0.25">
      <c r="A13" s="2" t="s">
        <v>208</v>
      </c>
      <c r="B13" s="50">
        <f>336*2.22</f>
        <v>745.92000000000007</v>
      </c>
      <c r="C13" s="50">
        <f>695*2.22</f>
        <v>1542.9</v>
      </c>
      <c r="D13" s="40">
        <f>B13*16/20000</f>
        <v>0.59673600000000004</v>
      </c>
      <c r="E13" s="41">
        <f>C13*16/20000</f>
        <v>1.2343200000000001</v>
      </c>
      <c r="F13" s="226" t="s">
        <v>209</v>
      </c>
      <c r="G13" s="227"/>
      <c r="I13" s="150"/>
      <c r="J13" s="148"/>
      <c r="K13" s="148"/>
      <c r="L13" s="148"/>
      <c r="M13" s="148"/>
      <c r="N13" s="148"/>
      <c r="O13" s="149"/>
      <c r="P13" s="148"/>
    </row>
    <row r="14" spans="1:16" x14ac:dyDescent="0.25">
      <c r="A14" s="2" t="s">
        <v>210</v>
      </c>
      <c r="B14" s="4"/>
      <c r="C14" s="4"/>
      <c r="D14" s="40">
        <f>0.03*B6/20000</f>
        <v>9.7722180000000006E-2</v>
      </c>
      <c r="E14" s="41">
        <f>0.03*C6/20000</f>
        <v>0.10988999999999999</v>
      </c>
      <c r="F14" s="226"/>
      <c r="G14" s="227"/>
      <c r="I14" s="237" t="s">
        <v>211</v>
      </c>
      <c r="J14" s="238"/>
      <c r="K14" s="238"/>
      <c r="L14" s="238"/>
      <c r="M14" s="238"/>
      <c r="N14" s="238"/>
      <c r="O14" s="239"/>
      <c r="P14" s="148"/>
    </row>
    <row r="15" spans="1:16" ht="12.75" customHeight="1" x14ac:dyDescent="0.25">
      <c r="A15" s="18" t="s">
        <v>212</v>
      </c>
      <c r="B15" s="17"/>
      <c r="C15" s="17"/>
      <c r="D15" s="42"/>
      <c r="E15" s="43"/>
      <c r="F15" s="235"/>
      <c r="G15" s="236"/>
      <c r="I15" s="232" t="s">
        <v>213</v>
      </c>
      <c r="J15" s="233"/>
      <c r="K15" s="233"/>
      <c r="L15" s="233"/>
      <c r="M15" s="233"/>
      <c r="N15" s="233"/>
      <c r="O15" s="234"/>
      <c r="P15" s="148"/>
    </row>
    <row r="16" spans="1:16" ht="13" x14ac:dyDescent="0.3">
      <c r="A16" s="10"/>
      <c r="B16" s="3"/>
      <c r="C16" s="37" t="s">
        <v>214</v>
      </c>
      <c r="D16" s="30">
        <f>SUM(D7:D14)</f>
        <v>2.2264407133333335</v>
      </c>
      <c r="E16" s="30">
        <f>SUM(E7:E14)</f>
        <v>3.0864571200000004</v>
      </c>
      <c r="F16" s="44" t="s">
        <v>215</v>
      </c>
      <c r="G16" s="45">
        <f>(D16+E16)/2</f>
        <v>2.6564489166666672</v>
      </c>
      <c r="I16" s="10"/>
      <c r="O16" s="11"/>
    </row>
    <row r="17" spans="1:15" ht="12.75" customHeight="1" x14ac:dyDescent="0.3">
      <c r="A17" s="10" t="s">
        <v>216</v>
      </c>
      <c r="B17" s="3"/>
      <c r="C17" s="3"/>
      <c r="G17" s="11"/>
      <c r="I17" s="10" t="s">
        <v>193</v>
      </c>
      <c r="M17" t="s">
        <v>194</v>
      </c>
      <c r="O17" s="11"/>
    </row>
    <row r="18" spans="1:15" ht="13" x14ac:dyDescent="0.3">
      <c r="A18" s="10" t="s">
        <v>217</v>
      </c>
      <c r="B18" s="3"/>
      <c r="C18" s="3"/>
      <c r="G18" s="11"/>
      <c r="I18" s="27" t="s">
        <v>196</v>
      </c>
      <c r="J18" s="28" t="s">
        <v>197</v>
      </c>
      <c r="K18" s="28" t="s">
        <v>218</v>
      </c>
      <c r="M18" s="28" t="s">
        <v>196</v>
      </c>
      <c r="N18" s="28" t="s">
        <v>197</v>
      </c>
      <c r="O18" s="31" t="s">
        <v>218</v>
      </c>
    </row>
    <row r="19" spans="1:15" ht="13.5" thickBot="1" x14ac:dyDescent="0.35">
      <c r="A19" s="142" t="s">
        <v>219</v>
      </c>
      <c r="B19" s="143">
        <v>1.4</v>
      </c>
      <c r="C19" s="143" t="s">
        <v>115</v>
      </c>
      <c r="G19" s="11"/>
      <c r="I19" s="47">
        <f>ROUNDUP(I8*2.3296254/0.8575,0)</f>
        <v>751</v>
      </c>
      <c r="J19" s="47">
        <f>ROUNDUP(J8*2.3296254/0.8575,0)</f>
        <v>977</v>
      </c>
      <c r="K19" s="47">
        <f>ROUNDUP(K8*2.3296254/0.8575,0)</f>
        <v>977</v>
      </c>
      <c r="L19" s="48"/>
      <c r="M19" s="47">
        <f>ROUNDUP(M8*2.3296254/0.8575,0)</f>
        <v>1643</v>
      </c>
      <c r="N19" s="47">
        <f>ROUNDUP(N8*2.3296254/0.8575,0)</f>
        <v>2136</v>
      </c>
      <c r="O19" s="47">
        <f>ROUNDUP(O8*2.3296254/0.8575,0)</f>
        <v>2136</v>
      </c>
    </row>
    <row r="20" spans="1:15" ht="13.5" thickBot="1" x14ac:dyDescent="0.35">
      <c r="A20" s="144" t="s">
        <v>225</v>
      </c>
      <c r="B20" s="51">
        <f>ROUNDUP(B19*2.0567102,1)</f>
        <v>2.9</v>
      </c>
      <c r="C20" s="22" t="s">
        <v>115</v>
      </c>
      <c r="D20" s="23"/>
      <c r="E20" s="23"/>
      <c r="F20" s="26"/>
      <c r="G20" s="24"/>
    </row>
    <row r="21" spans="1:15" ht="13" x14ac:dyDescent="0.3">
      <c r="A21" s="20"/>
      <c r="B21" s="21"/>
      <c r="C21" s="3"/>
    </row>
    <row r="22" spans="1:15" ht="13.5" thickBot="1" x14ac:dyDescent="0.35">
      <c r="B22" s="3"/>
      <c r="C22" s="3"/>
      <c r="I22" t="s">
        <v>196</v>
      </c>
      <c r="J22" t="s">
        <v>220</v>
      </c>
    </row>
    <row r="23" spans="1:15" ht="13.5" thickBot="1" x14ac:dyDescent="0.35">
      <c r="A23" s="230" t="s">
        <v>221</v>
      </c>
      <c r="B23" s="231"/>
      <c r="C23" s="5"/>
      <c r="I23" s="1" t="s">
        <v>197</v>
      </c>
      <c r="J23" s="1" t="s">
        <v>222</v>
      </c>
    </row>
    <row r="24" spans="1:15" ht="13" x14ac:dyDescent="0.3">
      <c r="A24" s="12" t="s">
        <v>223</v>
      </c>
      <c r="B24" s="52">
        <v>25</v>
      </c>
      <c r="C24" s="3"/>
    </row>
    <row r="25" spans="1:15" ht="13" x14ac:dyDescent="0.3">
      <c r="A25" s="142" t="s">
        <v>224</v>
      </c>
      <c r="B25" s="52">
        <v>36</v>
      </c>
      <c r="C25" s="3"/>
    </row>
    <row r="26" spans="1:15" ht="13.5" thickBot="1" x14ac:dyDescent="0.35">
      <c r="A26" s="144" t="s">
        <v>226</v>
      </c>
      <c r="B26" s="145">
        <f>ROUNDUP(B25*2.0567102,0)</f>
        <v>75</v>
      </c>
      <c r="C26" s="3"/>
    </row>
    <row r="27" spans="1:15" ht="13" x14ac:dyDescent="0.3">
      <c r="C27" s="3"/>
    </row>
    <row r="29" spans="1:15" ht="13" x14ac:dyDescent="0.3">
      <c r="A29" s="1"/>
      <c r="C29" s="3"/>
      <c r="I29" s="13"/>
    </row>
    <row r="30" spans="1:15" x14ac:dyDescent="0.25">
      <c r="F30" s="20"/>
    </row>
    <row r="31" spans="1:15" x14ac:dyDescent="0.25">
      <c r="J31" s="25"/>
    </row>
  </sheetData>
  <mergeCells count="20">
    <mergeCell ref="I15:O15"/>
    <mergeCell ref="F15:G15"/>
    <mergeCell ref="I14:O14"/>
    <mergeCell ref="A3:G3"/>
    <mergeCell ref="I3:O3"/>
    <mergeCell ref="F13:G13"/>
    <mergeCell ref="F14:G14"/>
    <mergeCell ref="F10:G10"/>
    <mergeCell ref="F11:G11"/>
    <mergeCell ref="F12:G12"/>
    <mergeCell ref="A4:A5"/>
    <mergeCell ref="B4:C4"/>
    <mergeCell ref="D4:E4"/>
    <mergeCell ref="F4:G5"/>
    <mergeCell ref="F6:G6"/>
    <mergeCell ref="F7:G7"/>
    <mergeCell ref="F8:G8"/>
    <mergeCell ref="F9:G9"/>
    <mergeCell ref="B1:C1"/>
    <mergeCell ref="A23:B23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1200" verticalDpi="1200" r:id="rId1"/>
  <headerFooter alignWithMargins="0">
    <oddHeader>&amp;R&amp;"Calibri"&amp;14&amp;K0078D7NP-1&amp;1#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60839EEC413D42B936D22B25F6F0F0" ma:contentTypeVersion="13" ma:contentTypeDescription="Crie um novo documento." ma:contentTypeScope="" ma:versionID="9bb85f9f46df1978345694967651d506">
  <xsd:schema xmlns:xsd="http://www.w3.org/2001/XMLSchema" xmlns:xs="http://www.w3.org/2001/XMLSchema" xmlns:p="http://schemas.microsoft.com/office/2006/metadata/properties" xmlns:ns2="add3c27a-27bc-4437-9981-1e2903c7f9e5" xmlns:ns3="7c465fa9-d1c6-407e-8062-f42278d1d57c" targetNamespace="http://schemas.microsoft.com/office/2006/metadata/properties" ma:root="true" ma:fieldsID="01d2eb1d94b32b42be1e055a4c67bf1b" ns2:_="" ns3:_="">
    <xsd:import namespace="add3c27a-27bc-4437-9981-1e2903c7f9e5"/>
    <xsd:import namespace="7c465fa9-d1c6-407e-8062-f42278d1d5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d3c27a-27bc-4437-9981-1e2903c7f9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bb34d3b-689d-4395-b7bd-987435fe9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5fa9-d1c6-407e-8062-f42278d1d57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2a169bd-1048-4f38-af2c-3d946b83854b}" ma:internalName="TaxCatchAll" ma:showField="CatchAllData" ma:web="7c465fa9-d1c6-407e-8062-f42278d1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d3c27a-27bc-4437-9981-1e2903c7f9e5">
      <Terms xmlns="http://schemas.microsoft.com/office/infopath/2007/PartnerControls"/>
    </lcf76f155ced4ddcb4097134ff3c332f>
    <TaxCatchAll xmlns="7c465fa9-d1c6-407e-8062-f42278d1d57c" xsi:nil="true"/>
  </documentManagement>
</p:properties>
</file>

<file path=customXml/itemProps1.xml><?xml version="1.0" encoding="utf-8"?>
<ds:datastoreItem xmlns:ds="http://schemas.openxmlformats.org/officeDocument/2006/customXml" ds:itemID="{15E5C919-EED8-4E3B-9039-224FF194F5BA}"/>
</file>

<file path=customXml/itemProps2.xml><?xml version="1.0" encoding="utf-8"?>
<ds:datastoreItem xmlns:ds="http://schemas.openxmlformats.org/officeDocument/2006/customXml" ds:itemID="{504F0863-BC5C-489E-A2BA-759F244100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6659B6-9F7A-4DEE-A111-8121C4C5F981}">
  <ds:schemaRefs>
    <ds:schemaRef ds:uri="http://schemas.microsoft.com/office/2006/metadata/properties"/>
    <ds:schemaRef ds:uri="http://schemas.microsoft.com/office/infopath/2007/PartnerControls"/>
    <ds:schemaRef ds:uri="2e0b2bba-8d56-4486-9dfe-41fc1cb198cb"/>
    <ds:schemaRef ds:uri="333c8369-f52d-4a22-be22-6699538139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Proposta preliminar</vt:lpstr>
      <vt:lpstr>Km rodado, refeição e Lancha</vt:lpstr>
      <vt:lpstr>'Proposta preliminar'!Area_de_impressao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Ronaldo</dc:creator>
  <cp:keywords/>
  <dc:description/>
  <cp:lastModifiedBy>Fernanda Reimao de Oliveira Fernandes</cp:lastModifiedBy>
  <cp:revision/>
  <dcterms:created xsi:type="dcterms:W3CDTF">2005-08-04T02:45:32Z</dcterms:created>
  <dcterms:modified xsi:type="dcterms:W3CDTF">2025-09-25T20:15:09Z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104e46-aa04-4baf-97d9-00f96bc46b59_Enabled">
    <vt:lpwstr>True</vt:lpwstr>
  </property>
  <property fmtid="{D5CDD505-2E9C-101B-9397-08002B2CF9AE}" pid="3" name="MSIP_Label_23104e46-aa04-4baf-97d9-00f96bc46b59_SiteId">
    <vt:lpwstr>46f6a780-86e1-4570-9459-bb97b7d99f9d</vt:lpwstr>
  </property>
  <property fmtid="{D5CDD505-2E9C-101B-9397-08002B2CF9AE}" pid="4" name="MSIP_Label_23104e46-aa04-4baf-97d9-00f96bc46b59_Owner">
    <vt:lpwstr>marcusvalerio@transpetro.com.br</vt:lpwstr>
  </property>
  <property fmtid="{D5CDD505-2E9C-101B-9397-08002B2CF9AE}" pid="5" name="MSIP_Label_23104e46-aa04-4baf-97d9-00f96bc46b59_SetDate">
    <vt:lpwstr>2020-02-28T09:26:13.7862177Z</vt:lpwstr>
  </property>
  <property fmtid="{D5CDD505-2E9C-101B-9397-08002B2CF9AE}" pid="6" name="MSIP_Label_23104e46-aa04-4baf-97d9-00f96bc46b59_Name">
    <vt:lpwstr>NP-1</vt:lpwstr>
  </property>
  <property fmtid="{D5CDD505-2E9C-101B-9397-08002B2CF9AE}" pid="7" name="MSIP_Label_23104e46-aa04-4baf-97d9-00f96bc46b59_Application">
    <vt:lpwstr>Microsoft Azure Information Protection</vt:lpwstr>
  </property>
  <property fmtid="{D5CDD505-2E9C-101B-9397-08002B2CF9AE}" pid="8" name="MSIP_Label_23104e46-aa04-4baf-97d9-00f96bc46b59_ActionId">
    <vt:lpwstr>c2d5d557-25aa-4fe1-9247-44181d2ec9f9</vt:lpwstr>
  </property>
  <property fmtid="{D5CDD505-2E9C-101B-9397-08002B2CF9AE}" pid="9" name="MSIP_Label_23104e46-aa04-4baf-97d9-00f96bc46b59_Extended_MSFT_Method">
    <vt:lpwstr>Automatic</vt:lpwstr>
  </property>
  <property fmtid="{D5CDD505-2E9C-101B-9397-08002B2CF9AE}" pid="10" name="Sensitivity">
    <vt:lpwstr>NP-1</vt:lpwstr>
  </property>
  <property fmtid="{D5CDD505-2E9C-101B-9397-08002B2CF9AE}" pid="11" name="ContentTypeId">
    <vt:lpwstr>0x010100A060839EEC413D42B936D22B25F6F0F0</vt:lpwstr>
  </property>
  <property fmtid="{D5CDD505-2E9C-101B-9397-08002B2CF9AE}" pid="12" name="MediaServiceImageTags">
    <vt:lpwstr/>
  </property>
</Properties>
</file>