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transpetro.sharepoint.com/sites/GernciadeContratosdeServioseMateriaisOperacionais/Documentos Compartilhados/Contratação de Serviço/13 - CGPSB/CGPSB - 2025/"/>
    </mc:Choice>
  </mc:AlternateContent>
  <xr:revisionPtr revIDLastSave="94" documentId="13_ncr:1_{A0B49322-56A6-40D8-BEFC-386879450855}" xr6:coauthVersionLast="47" xr6:coauthVersionMax="47" xr10:uidLastSave="{54C09B02-A421-4ED1-ADD4-012B20C2506C}"/>
  <workbookProtection workbookAlgorithmName="SHA-512" workbookHashValue="AaPkvKXDEdSmXXX3AaC03PMPuvobtuecjiPvtqkWuvfRzPjvJrKGnjyJ8qE4p33q2rtlI6ld+9rdRJZVm9IYgQ==" workbookSaltValue="Kash5HtvWeLSNxM72jr4Qw==" workbookSpinCount="100000" lockStructure="1"/>
  <bookViews>
    <workbookView xWindow="-110" yWindow="-110" windowWidth="19420" windowHeight="10300" xr2:uid="{00000000-000D-0000-FFFF-FFFF00000000}"/>
  </bookViews>
  <sheets>
    <sheet name="Proposta preliminar" sheetId="1" r:id="rId1"/>
    <sheet name="Km rodado, refeição e Lancha" sheetId="2" r:id="rId2"/>
  </sheets>
  <definedNames>
    <definedName name="_xlnm.Print_Area" localSheetId="0">'Proposta preliminar'!$B$2:$E$71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2" l="1"/>
  <c r="B20" i="2"/>
  <c r="O19" i="2"/>
  <c r="N19" i="2"/>
  <c r="M19" i="2"/>
  <c r="K19" i="2"/>
  <c r="J19" i="2"/>
  <c r="I19" i="2"/>
  <c r="E48" i="1"/>
  <c r="D25" i="1"/>
  <c r="D17" i="1"/>
  <c r="D18" i="1" s="1"/>
  <c r="E37" i="1" s="1"/>
  <c r="D23" i="1"/>
  <c r="E38" i="1" l="1"/>
  <c r="D36" i="1"/>
  <c r="E50" i="1"/>
  <c r="E51" i="1"/>
  <c r="D51" i="1" l="1"/>
  <c r="D49" i="1"/>
  <c r="L82" i="1" l="1"/>
  <c r="O95" i="1" l="1"/>
  <c r="O87" i="1"/>
  <c r="O83" i="1"/>
  <c r="N89" i="1"/>
  <c r="C13" i="2"/>
  <c r="C12" i="2"/>
  <c r="C11" i="2"/>
  <c r="C10" i="2"/>
  <c r="C9" i="2"/>
  <c r="B13" i="2"/>
  <c r="B12" i="2"/>
  <c r="B11" i="2"/>
  <c r="B10" i="2"/>
  <c r="B9" i="2"/>
  <c r="C6" i="2"/>
  <c r="B6" i="2"/>
  <c r="E63" i="1"/>
  <c r="N84" i="1"/>
  <c r="N96" i="1"/>
  <c r="N97" i="1"/>
  <c r="N88" i="1" l="1"/>
  <c r="N86" i="1"/>
  <c r="N102" i="1"/>
  <c r="N85" i="1"/>
  <c r="N94" i="1"/>
  <c r="N93" i="1"/>
  <c r="N92" i="1"/>
  <c r="N91" i="1"/>
  <c r="N101" i="1"/>
  <c r="N90" i="1"/>
  <c r="N99" i="1"/>
  <c r="N98" i="1"/>
  <c r="E36" i="1" l="1"/>
  <c r="D37" i="1"/>
  <c r="E39" i="1" l="1"/>
  <c r="E40" i="1" s="1"/>
  <c r="J61" i="1" s="1"/>
  <c r="D26" i="1"/>
  <c r="E43" i="1" l="1"/>
  <c r="J66" i="1"/>
  <c r="J62" i="1"/>
  <c r="E7" i="2"/>
  <c r="E8" i="2"/>
  <c r="E9" i="2"/>
  <c r="E10" i="2"/>
  <c r="E11" i="2"/>
  <c r="E12" i="2"/>
  <c r="E13" i="2"/>
  <c r="E14" i="2"/>
  <c r="D7" i="2"/>
  <c r="D8" i="2"/>
  <c r="D9" i="2"/>
  <c r="D10" i="2"/>
  <c r="D11" i="2"/>
  <c r="D12" i="2"/>
  <c r="D13" i="2"/>
  <c r="D14" i="2"/>
  <c r="E44" i="1" l="1"/>
  <c r="E45" i="1" s="1"/>
  <c r="D16" i="2"/>
  <c r="E16" i="2"/>
  <c r="G16" i="2" l="1"/>
  <c r="E49" i="1" l="1"/>
  <c r="E52" i="1" l="1"/>
  <c r="E6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MARCUS VALERIO MARQUES DA FONSECA</author>
    <author>Renan da Silva Camara</author>
    <author>RONALDO DE MOURA MUNDIM</author>
  </authors>
  <commentList>
    <comment ref="D19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Nota 13:</t>
        </r>
        <r>
          <rPr>
            <sz val="9"/>
            <color indexed="81"/>
            <rFont val="Segoe UI"/>
            <family val="2"/>
          </rPr>
          <t xml:space="preserve"> equipe é o agrupamento de dois ou mais profissionais que realizam tarefas de forma que as atividades individuais de cada integrante complementam o que foi executado pelo outro, sendo que a cooperação de todos garante o atingimento do resultado desejado.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26" authorId="0" shapeId="0" xr:uid="{00000000-0006-0000-0000-000002000000}">
      <text>
        <r>
          <rPr>
            <sz val="9"/>
            <color indexed="81"/>
            <rFont val="Segoe UI"/>
            <family val="2"/>
          </rPr>
          <t xml:space="preserve">Quantidade de </t>
        </r>
        <r>
          <rPr>
            <b/>
            <sz val="9"/>
            <color indexed="81"/>
            <rFont val="Segoe UI"/>
            <family val="2"/>
          </rPr>
          <t>horas à disposição,</t>
        </r>
        <r>
          <rPr>
            <sz val="9"/>
            <color indexed="81"/>
            <rFont val="Segoe UI"/>
            <family val="2"/>
          </rPr>
          <t xml:space="preserve"> </t>
        </r>
        <r>
          <rPr>
            <b/>
            <sz val="9"/>
            <color indexed="81"/>
            <rFont val="Segoe UI"/>
            <family val="2"/>
          </rPr>
          <t>estimadas,</t>
        </r>
        <r>
          <rPr>
            <sz val="9"/>
            <color indexed="81"/>
            <rFont val="Segoe UI"/>
            <family val="2"/>
          </rPr>
          <t xml:space="preserve"> a fim de compensar as horas comprovadamente perdidas em esperas para embarque e desembarque de navio e esperas por interrupções dos serviços, motivadas por necessidade operacional do navio.
</t>
        </r>
      </text>
    </comment>
    <comment ref="E33" authorId="1" shapeId="0" xr:uid="{00000000-0006-0000-0000-000003000000}">
      <text>
        <r>
          <rPr>
            <b/>
            <sz val="9"/>
            <color indexed="81"/>
            <rFont val="Segoe UI"/>
            <family val="2"/>
          </rPr>
          <t>Valor da soma das horas de toda equipe.
Ex.: 2 Técnicos - R$ 100,00/hora por técnico
1 Supervisor - R$ 200,00/hora
Total do HS: R$ 400,00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9" authorId="2" shapeId="0" xr:uid="{00000000-0006-0000-0000-000004000000}">
      <text>
        <r>
          <rPr>
            <sz val="8"/>
            <color indexed="81"/>
            <rFont val="Tahoma"/>
            <family val="2"/>
          </rPr>
          <t>Em caso de passagens aéreas ou de ônibus, adquiridas pela contratada, seus valores não devem ser incluídos nas NFs , e serão objeto de reembolso a ser feito mediante apresentação dos comprovantes originais e Recibo, onde deverão constar o nº do PC e da respectiva FRS.</t>
        </r>
      </text>
    </comment>
    <comment ref="D51" authorId="0" shapeId="0" xr:uid="{00000000-0006-0000-0000-000005000000}">
      <text>
        <r>
          <rPr>
            <sz val="9"/>
            <color indexed="81"/>
            <rFont val="Segoe UI"/>
            <family val="2"/>
          </rPr>
          <t xml:space="preserve">por 1 refeição/pessoa/dia; reembolso de até 2 refeições por dia por pessoa.
</t>
        </r>
      </text>
    </comment>
  </commentList>
</comments>
</file>

<file path=xl/sharedStrings.xml><?xml version="1.0" encoding="utf-8"?>
<sst xmlns="http://schemas.openxmlformats.org/spreadsheetml/2006/main" count="418" uniqueCount="231">
  <si>
    <t>gcserv</t>
  </si>
  <si>
    <t>Proposta Comercial - Versão 2025</t>
  </si>
  <si>
    <t>Legenda:</t>
  </si>
  <si>
    <t>6 = Segunda</t>
  </si>
  <si>
    <t>Nome da Empresa</t>
  </si>
  <si>
    <t>7 = Terça</t>
  </si>
  <si>
    <t>CNPJ:</t>
  </si>
  <si>
    <t>Proposta / Orçamento nº:</t>
  </si>
  <si>
    <t>1 = Quarta</t>
  </si>
  <si>
    <t>Proposta conforme Condições Gerais para Prestação de Serviços a Bordo CGPSB de</t>
  </si>
  <si>
    <t>2 = Quinta</t>
  </si>
  <si>
    <t>3 = Sexta</t>
  </si>
  <si>
    <t>1.</t>
  </si>
  <si>
    <t>Dados Gerais</t>
  </si>
  <si>
    <t>4 = Sábado</t>
  </si>
  <si>
    <t>1.1.</t>
  </si>
  <si>
    <t>Navio:</t>
  </si>
  <si>
    <t>5 = Domingo</t>
  </si>
  <si>
    <t>1.2.</t>
  </si>
  <si>
    <t>Equipamento ou Sistema:</t>
  </si>
  <si>
    <t>1.3.</t>
  </si>
  <si>
    <t>Porto de atendimento ao navio</t>
  </si>
  <si>
    <t>Rio de Janeiro</t>
  </si>
  <si>
    <t>1.4.</t>
  </si>
  <si>
    <t>Datas de início dos serviços (dd/mm/aa)</t>
  </si>
  <si>
    <t>1.5.</t>
  </si>
  <si>
    <t>Datas de fim dos serviços (dd/mm/aa)</t>
  </si>
  <si>
    <t>1.6.</t>
  </si>
  <si>
    <t xml:space="preserve">Total de dias úteis </t>
  </si>
  <si>
    <t>1.7.</t>
  </si>
  <si>
    <t>Total de dias não úteis</t>
  </si>
  <si>
    <t>1.8.</t>
  </si>
  <si>
    <t>Composição de equipe (Qtd de pessoas)</t>
  </si>
  <si>
    <t>1.9.</t>
  </si>
  <si>
    <t>Local de realização dos serviços</t>
  </si>
  <si>
    <t>A bordo e em oficina</t>
  </si>
  <si>
    <t>1.10.</t>
  </si>
  <si>
    <t>Eixo de deslocamento da equipe (cidades envolvidas)</t>
  </si>
  <si>
    <t>Cidade origem = cidade destino</t>
  </si>
  <si>
    <t>1.11.</t>
  </si>
  <si>
    <t>Transporte a ser utilizado no deslocamento entre cidades</t>
  </si>
  <si>
    <t>Não haverá viagens entre cidades</t>
  </si>
  <si>
    <t>1.12.</t>
  </si>
  <si>
    <t xml:space="preserve">Distância a percorrer com carro (desloc. entre cidades; ida + volta)               </t>
  </si>
  <si>
    <t>1.13.</t>
  </si>
  <si>
    <t>Condição do navio (na dúvida, selecione fundeado)</t>
  </si>
  <si>
    <t>Fundeado</t>
  </si>
  <si>
    <t>1.14.</t>
  </si>
  <si>
    <t>Horas de deslocamento (ida + volta)</t>
  </si>
  <si>
    <t>1.15.</t>
  </si>
  <si>
    <r>
      <t xml:space="preserve">Horas </t>
    </r>
    <r>
      <rPr>
        <b/>
        <sz val="10"/>
        <rFont val="Calibri Light"/>
        <family val="2"/>
      </rPr>
      <t>estimadas</t>
    </r>
    <r>
      <rPr>
        <sz val="10"/>
        <rFont val="Calibri Light"/>
        <family val="2"/>
      </rPr>
      <t xml:space="preserve"> em espera (embarque, desembarque ou motivada por bordo)</t>
    </r>
  </si>
  <si>
    <t>1.16.</t>
  </si>
  <si>
    <t>Lancha para transporte da equipe</t>
  </si>
  <si>
    <t>Fornecimento da TRANSPETRO</t>
  </si>
  <si>
    <t>1.17.</t>
  </si>
  <si>
    <t>Refeição para a equipe enquanto a bordo</t>
  </si>
  <si>
    <t>Fornecimento pelo navio</t>
  </si>
  <si>
    <t>1.18.</t>
  </si>
  <si>
    <t>Forma de Medição dos Serviços</t>
  </si>
  <si>
    <t>Valor Fixo (oficina) + HS</t>
  </si>
  <si>
    <t>2.</t>
  </si>
  <si>
    <t>Preço dos serviços</t>
  </si>
  <si>
    <t>2.1.</t>
  </si>
  <si>
    <t xml:space="preserve">Preço de serviço em valor fixo - fechado/tabelado (Realizados a bordo ou em oficina, Locação de equipamentos, etc) </t>
  </si>
  <si>
    <t>Total A (R$)</t>
  </si>
  <si>
    <t xml:space="preserve">2.2. </t>
  </si>
  <si>
    <r>
      <t xml:space="preserve">Valor da equipe em dias úteis </t>
    </r>
    <r>
      <rPr>
        <sz val="10"/>
        <rFont val="Calibri Light"/>
        <family val="2"/>
      </rPr>
      <t>(Este valor é o valor da equipe por hora)</t>
    </r>
  </si>
  <si>
    <t>(R$)</t>
  </si>
  <si>
    <t>2.3.</t>
  </si>
  <si>
    <r>
      <t xml:space="preserve">Valor da equipe em dias não úteis e/ou dias úteis entre 19:00 e 07:00 h </t>
    </r>
    <r>
      <rPr>
        <sz val="10"/>
        <rFont val="Calibri Light"/>
        <family val="2"/>
      </rPr>
      <t>(Este valor é o valor da equipe por hora)</t>
    </r>
  </si>
  <si>
    <t>2.3.1.</t>
  </si>
  <si>
    <t>Horas Normais estimadas de trabalho diário a bordo (máx 12 h)</t>
  </si>
  <si>
    <t>2.3.2.</t>
  </si>
  <si>
    <t>Distribuição do total de horas trabalhadas nos dias úteis</t>
  </si>
  <si>
    <t>2.3.3.</t>
  </si>
  <si>
    <t>Distribuição do total de horas trabalhadas em dias não úteis</t>
  </si>
  <si>
    <t>2.3.4.</t>
  </si>
  <si>
    <t>Total de Horas de Serviço (HS)</t>
  </si>
  <si>
    <t>2.4.</t>
  </si>
  <si>
    <t>Serviços a serem realizados a bordo e medidos por Horas de Serviço (HS)</t>
  </si>
  <si>
    <t>Total B (R$)</t>
  </si>
  <si>
    <t>Total Serv (A+B)</t>
  </si>
  <si>
    <t>3.</t>
  </si>
  <si>
    <t>Estimativa do gasto com a Equipe em deslocamento e à disposição</t>
  </si>
  <si>
    <t>3.1.</t>
  </si>
  <si>
    <r>
      <t xml:space="preserve">Preço </t>
    </r>
    <r>
      <rPr>
        <b/>
        <sz val="10"/>
        <rFont val="Calibri Light"/>
        <family val="2"/>
      </rPr>
      <t>estimado</t>
    </r>
    <r>
      <rPr>
        <sz val="10"/>
        <rFont val="Calibri Light"/>
        <family val="2"/>
      </rPr>
      <t xml:space="preserve"> para horas </t>
    </r>
    <r>
      <rPr>
        <b/>
        <sz val="10"/>
        <rFont val="Calibri Light"/>
        <family val="2"/>
      </rPr>
      <t>à disposição</t>
    </r>
    <r>
      <rPr>
        <sz val="10"/>
        <rFont val="Calibri Light"/>
        <family val="2"/>
      </rPr>
      <t xml:space="preserve">, </t>
    </r>
    <r>
      <rPr>
        <b/>
        <sz val="10"/>
        <rFont val="Calibri Light"/>
        <family val="2"/>
      </rPr>
      <t>a ser verificado no relatório final</t>
    </r>
  </si>
  <si>
    <t>À disposição (C) (R$)</t>
  </si>
  <si>
    <r>
      <t xml:space="preserve">Preço </t>
    </r>
    <r>
      <rPr>
        <b/>
        <sz val="10"/>
        <rFont val="Calibri Light"/>
        <family val="2"/>
      </rPr>
      <t>estimado</t>
    </r>
    <r>
      <rPr>
        <sz val="10"/>
        <rFont val="Calibri Light"/>
        <family val="2"/>
      </rPr>
      <t xml:space="preserve"> para horas em deslocamento,</t>
    </r>
    <r>
      <rPr>
        <b/>
        <sz val="10"/>
        <rFont val="Calibri Light"/>
        <family val="2"/>
      </rPr>
      <t xml:space="preserve"> a ser verificado no relatório final</t>
    </r>
  </si>
  <si>
    <t>Deslocamento (D) (R$)</t>
  </si>
  <si>
    <t>Total (C+D) (R$)</t>
  </si>
  <si>
    <t>4.</t>
  </si>
  <si>
    <t>Estimativa dos gastos com "Mobilização da equipe"</t>
  </si>
  <si>
    <t>4.1.</t>
  </si>
  <si>
    <t>Despesas com táxi para ida e volta a aeroportos das cidades de origem e destino</t>
  </si>
  <si>
    <t>4.2.</t>
  </si>
  <si>
    <t>Despesas de transporte entre cidades (ida e volta c/carro próprio)</t>
  </si>
  <si>
    <t>4.3.</t>
  </si>
  <si>
    <t>Despesas de lanchas no Rio (ida e volta da equipe + lancha p/ refeição)</t>
  </si>
  <si>
    <t>4.4.</t>
  </si>
  <si>
    <t xml:space="preserve">Alimentação da equipe </t>
  </si>
  <si>
    <t>Total Mobiliz.(R$)</t>
  </si>
  <si>
    <t>5.</t>
  </si>
  <si>
    <r>
      <t xml:space="preserve">Preço dos materiais </t>
    </r>
    <r>
      <rPr>
        <sz val="10"/>
        <rFont val="Calibri Light"/>
        <family val="2"/>
      </rPr>
      <t>(</t>
    </r>
    <r>
      <rPr>
        <u/>
        <sz val="10"/>
        <rFont val="Calibri Light"/>
        <family val="2"/>
      </rPr>
      <t>Valor não deve ultrapassar 40% do valor do serviço</t>
    </r>
    <r>
      <rPr>
        <sz val="10"/>
        <rFont val="Calibri Light"/>
        <family val="2"/>
      </rPr>
      <t>)</t>
    </r>
  </si>
  <si>
    <t>NM</t>
  </si>
  <si>
    <t>Preço Unitário (R$)</t>
  </si>
  <si>
    <t>Total Materiais (R$)</t>
  </si>
  <si>
    <t>6.</t>
  </si>
  <si>
    <r>
      <t xml:space="preserve">Preço total estimado (R$) </t>
    </r>
    <r>
      <rPr>
        <sz val="10"/>
        <rFont val="Calibri Light"/>
        <family val="2"/>
      </rPr>
      <t>(Serviços + Equipe à disp.+ Mobiliz.+ Materiais)</t>
    </r>
  </si>
  <si>
    <t>Os valores acima são estimados e estão sujeitos a variações conforme ocorrências.</t>
  </si>
  <si>
    <t>Data:</t>
  </si>
  <si>
    <t>Representante do Prestador de Serviços</t>
  </si>
  <si>
    <t>CGPSB</t>
  </si>
  <si>
    <t>Eixo do percurso "Cidade da contratada x Cidade do porto de atendimento"</t>
  </si>
  <si>
    <t>Tempo de deslocamento ( h )</t>
  </si>
  <si>
    <t>Distância a ser percorrida com carro próprio</t>
  </si>
  <si>
    <t>R$/Km</t>
  </si>
  <si>
    <t>Táxi p/ aeroporto (R$)</t>
  </si>
  <si>
    <t>Ônibus (R$)</t>
  </si>
  <si>
    <t>Na cidade destino (R$)</t>
  </si>
  <si>
    <t>Na origem e no destino (ida + volta) (R$)</t>
  </si>
  <si>
    <t>Navio atracado</t>
  </si>
  <si>
    <t>Navio fundeado</t>
  </si>
  <si>
    <t>Rio - Angra</t>
  </si>
  <si>
    <t>Rio - Belém/São Luís</t>
  </si>
  <si>
    <t>Rio - Cabedelo</t>
  </si>
  <si>
    <t>Rio - Fortaleza</t>
  </si>
  <si>
    <t>Rio - Macaé</t>
  </si>
  <si>
    <t>Rio - Macapá</t>
  </si>
  <si>
    <t>Rio - Manaus</t>
  </si>
  <si>
    <t>Rio - Natal</t>
  </si>
  <si>
    <t>Rio - Paranaguá</t>
  </si>
  <si>
    <t>Rio - Rio Grande</t>
  </si>
  <si>
    <t>Rio - Porto Alegre</t>
  </si>
  <si>
    <t>Rio - S. Sebastião (aéreo)</t>
  </si>
  <si>
    <t>Rio - S. Sebastião (rodoviário)</t>
  </si>
  <si>
    <t>Rio - Salvador (Porto)</t>
  </si>
  <si>
    <t>Rio - Salvador (Temadre)</t>
  </si>
  <si>
    <t>Rio - Salvador (Aratu)</t>
  </si>
  <si>
    <t>Rio - Santos (aéreo)</t>
  </si>
  <si>
    <t>Rio - Santos (rodovia)</t>
  </si>
  <si>
    <t>Rio - Suape</t>
  </si>
  <si>
    <t>Rio - Vitória</t>
  </si>
  <si>
    <t>Santos - S. Sebastião</t>
  </si>
  <si>
    <t>Outros</t>
  </si>
  <si>
    <t>Táxi no Rio (Tom Jobim)</t>
  </si>
  <si>
    <t>Outros portos</t>
  </si>
  <si>
    <t>Local realização serviços</t>
  </si>
  <si>
    <t>Feriados</t>
  </si>
  <si>
    <t>segunda-feira</t>
  </si>
  <si>
    <t>Confraternização Universal</t>
  </si>
  <si>
    <t>Apenas a bordo</t>
  </si>
  <si>
    <t>Carnaval</t>
  </si>
  <si>
    <t>Apenas em oficina</t>
  </si>
  <si>
    <t>terça-feira</t>
  </si>
  <si>
    <t>sexta-feira</t>
  </si>
  <si>
    <t>Paixão de Cristo</t>
  </si>
  <si>
    <t>Transporte entre cidades</t>
  </si>
  <si>
    <t>domingo</t>
  </si>
  <si>
    <t>Tiradentes</t>
  </si>
  <si>
    <t>Carro próprio</t>
  </si>
  <si>
    <t>quarta-feira</t>
  </si>
  <si>
    <t>Dia do Trabalho</t>
  </si>
  <si>
    <t>Avião</t>
  </si>
  <si>
    <t>quinta-feira</t>
  </si>
  <si>
    <t>Corpus Christi</t>
  </si>
  <si>
    <t>Ônibus</t>
  </si>
  <si>
    <t>sábado</t>
  </si>
  <si>
    <t>Independência do Brasil</t>
  </si>
  <si>
    <r>
      <t>Nossa Sr.</t>
    </r>
    <r>
      <rPr>
        <vertAlign val="superscript"/>
        <sz val="10"/>
        <rFont val="Cambria"/>
        <family val="1"/>
        <scheme val="major"/>
      </rPr>
      <t>a</t>
    </r>
    <r>
      <rPr>
        <sz val="10"/>
        <rFont val="Cambria"/>
        <family val="1"/>
        <scheme val="major"/>
      </rPr>
      <t xml:space="preserve"> Aparecida - Padroeira do Brasil</t>
    </r>
  </si>
  <si>
    <t>Finados</t>
  </si>
  <si>
    <t>Condição do navio</t>
  </si>
  <si>
    <t>Proclamação da República</t>
  </si>
  <si>
    <t>Atracado</t>
  </si>
  <si>
    <t>Natal</t>
  </si>
  <si>
    <t>Lancha transporte equipe</t>
  </si>
  <si>
    <t>Fornecimento da contratada</t>
  </si>
  <si>
    <t>Refeição</t>
  </si>
  <si>
    <t>Fornecimento pela contratada</t>
  </si>
  <si>
    <r>
      <t>Nossa Sr.</t>
    </r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Aparecida - Padroeira do Brasil</t>
    </r>
  </si>
  <si>
    <t>Divisão expediente da contratada</t>
  </si>
  <si>
    <t>Normais; extras a 50% e 100%</t>
  </si>
  <si>
    <t>Normais e extras a 100%</t>
  </si>
  <si>
    <t>Normais e extras a 50%</t>
  </si>
  <si>
    <t>Valor Fixo (oficina/bordo/bordo&amp;oficina)</t>
  </si>
  <si>
    <t>HS</t>
  </si>
  <si>
    <t xml:space="preserve">CGPSB </t>
  </si>
  <si>
    <t>Memória de cálculo para valor do Km rodado</t>
  </si>
  <si>
    <t>Memória de cálculo para valor de lanchas de Oficinas</t>
  </si>
  <si>
    <t>Base: automóvel (Gol 1000 / 20.000 Km / ano) - Gol 1.0 - 2015</t>
  </si>
  <si>
    <t>Preços de mercado</t>
  </si>
  <si>
    <t>Cálculo R$ / Km</t>
  </si>
  <si>
    <t>Fonte</t>
  </si>
  <si>
    <t>Base: Acordo de preços com Antônio Carlos x TRANSPETRO, de 01/07/13</t>
  </si>
  <si>
    <t>Mín</t>
  </si>
  <si>
    <t>Máx</t>
  </si>
  <si>
    <t>1. Valor</t>
  </si>
  <si>
    <t>Tabela FIPE - Mercado</t>
  </si>
  <si>
    <t>Na Baía de Guanabara</t>
  </si>
  <si>
    <t>Fora da Barra</t>
  </si>
  <si>
    <t>2. Depreciação em 10 anos = Valor / (10 x 20.000)</t>
  </si>
  <si>
    <t>H. Normal</t>
  </si>
  <si>
    <t>H. Extra</t>
  </si>
  <si>
    <t>Sáb, dom e fer</t>
  </si>
  <si>
    <t>3. Seguro a 10 % valor do veículo = (0,10 x Valor) / 20.000</t>
  </si>
  <si>
    <t>PORTO SEGURO</t>
  </si>
  <si>
    <t>4. Gasolina (10 Km / L) = preço litro gas. / 10</t>
  </si>
  <si>
    <t>5. Óleo (troca cada 7.500 Km) =  (preço óleo x 3 litros) / 7.500</t>
  </si>
  <si>
    <t>DPASCHOAL</t>
  </si>
  <si>
    <t>Esses valores devem ser acrescidos de ISS; PIS e COFINS</t>
  </si>
  <si>
    <t>6. Pneus (troca cada 45 Km) = (preço pneu x 4) / 45.000</t>
  </si>
  <si>
    <t>ISS= 5%; PIS=1,65% e COFINS=7,6 -------Total = 14,25 -------- (1 - 0,1425) = 0,8575</t>
  </si>
  <si>
    <t>7. Amortecedores (a cada 30.000 Km) = (preço conjunto) / 30.000</t>
  </si>
  <si>
    <t>8. Revisão (a cada 20.000 Km) = (preço) / 20.000</t>
  </si>
  <si>
    <t>RECREIO VEÍCULOS</t>
  </si>
  <si>
    <t>9. IPVA Utilitário (3% valor do veículo) = (0,03 x Valor) / 20.000</t>
  </si>
  <si>
    <t xml:space="preserve">Valor da viagem redonda para Oficinas                                  </t>
  </si>
  <si>
    <t>10. Motorista = salário x 12 / 20.000   ( * )</t>
  </si>
  <si>
    <t xml:space="preserve">(= valores do Acordo / 0,8575) </t>
  </si>
  <si>
    <t xml:space="preserve">Ʃ = </t>
  </si>
  <si>
    <t xml:space="preserve">Valor médio = </t>
  </si>
  <si>
    <t>( * ) O motorista não será considerado, pois seu valor deve estar contido nos custos administrativos da contratada.</t>
  </si>
  <si>
    <t>ISS = 5%; PIS = 1,65% e COFINS = 7,6 ------  Total = 14,25 ------ (1 - 0,1425) = 0,8575</t>
  </si>
  <si>
    <t>H. Noturna</t>
  </si>
  <si>
    <t>Valor do km rodado, incluindo impostos em Set/2015 =</t>
  </si>
  <si>
    <t>das 07 às 19 h</t>
  </si>
  <si>
    <t>Memória de cálculo do valor da refeição/pessoa</t>
  </si>
  <si>
    <t>das 19 às 07h</t>
  </si>
  <si>
    <t>Base: Auxílio Refeição em maio 2012  =====================</t>
  </si>
  <si>
    <t>Base: Auxílio Refeição em setembro 2015  =====================</t>
  </si>
  <si>
    <t>Valor do km rodado, incluindo impostos em Ago/2025 =</t>
  </si>
  <si>
    <t xml:space="preserve">Ago/25 = Set 2015 x 2,0567102 (IGPM)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</si>
</sst>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mmm/yyyy"/>
    <numFmt numFmtId="165" formatCode="&quot;R$ &quot;#,##0.00;[Red]&quot;R$ &quot;#,##0.00"/>
    <numFmt numFmtId="166" formatCode="dd/mm/yy;@"/>
    <numFmt numFmtId="167" formatCode="&quot;R$ &quot;#,##0.00"/>
    <numFmt numFmtId="168" formatCode="#,##0.00;[Red]#,##0.00"/>
    <numFmt numFmtId="169" formatCode="#,##0.0000"/>
    <numFmt numFmtId="170" formatCode="[$-416]mmm\-yy;@"/>
    <numFmt numFmtId="171" formatCode="#,##0;[Red]#,##0"/>
    <numFmt numFmtId="172" formatCode="00\.000\.000\/0000\-00,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Calibri Light"/>
      <family val="2"/>
    </font>
    <font>
      <sz val="10"/>
      <color rgb="FFFF0000"/>
      <name val="Calibri Light"/>
      <family val="2"/>
    </font>
    <font>
      <b/>
      <sz val="10"/>
      <name val="Calibri Light"/>
      <family val="2"/>
    </font>
    <font>
      <b/>
      <sz val="10"/>
      <color rgb="FFFF0000"/>
      <name val="Calibri Light"/>
      <family val="2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b/>
      <sz val="14"/>
      <name val="Calibri Light"/>
      <family val="2"/>
    </font>
    <font>
      <sz val="10"/>
      <color theme="0"/>
      <name val="Calibri Light"/>
      <family val="2"/>
    </font>
    <font>
      <sz val="9"/>
      <color indexed="81"/>
      <name val="Segoe UI"/>
      <family val="2"/>
    </font>
    <font>
      <sz val="18"/>
      <name val="Calibri Light"/>
      <family val="2"/>
    </font>
    <font>
      <b/>
      <sz val="18"/>
      <name val="Calibri Light"/>
      <family val="2"/>
    </font>
    <font>
      <b/>
      <sz val="18"/>
      <color rgb="FFFF0000"/>
      <name val="Calibri Light"/>
      <family val="2"/>
    </font>
    <font>
      <sz val="18"/>
      <color rgb="FFFF0000"/>
      <name val="Calibri Light"/>
      <family val="2"/>
    </font>
    <font>
      <b/>
      <sz val="9"/>
      <color indexed="81"/>
      <name val="Segoe UI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i/>
      <sz val="10"/>
      <name val="Calibri Light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1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4" fontId="0" fillId="0" borderId="0" xfId="0" applyNumberFormat="1"/>
    <xf numFmtId="0" fontId="0" fillId="0" borderId="2" xfId="0" applyBorder="1"/>
    <xf numFmtId="4" fontId="4" fillId="0" borderId="0" xfId="0" applyNumberFormat="1" applyFont="1"/>
    <xf numFmtId="4" fontId="5" fillId="0" borderId="3" xfId="0" applyNumberFormat="1" applyFont="1" applyBorder="1"/>
    <xf numFmtId="0" fontId="3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2" xfId="0" applyFont="1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169" fontId="0" fillId="0" borderId="0" xfId="0" applyNumberFormat="1"/>
    <xf numFmtId="4" fontId="0" fillId="0" borderId="41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0" borderId="42" xfId="0" applyBorder="1"/>
    <xf numFmtId="4" fontId="5" fillId="0" borderId="43" xfId="0" applyNumberFormat="1" applyFont="1" applyBorder="1"/>
    <xf numFmtId="0" fontId="0" fillId="0" borderId="44" xfId="0" applyBorder="1"/>
    <xf numFmtId="4" fontId="0" fillId="0" borderId="27" xfId="0" applyNumberFormat="1" applyBorder="1" applyAlignment="1">
      <alignment horizontal="center"/>
    </xf>
    <xf numFmtId="0" fontId="2" fillId="0" borderId="0" xfId="0" applyFont="1"/>
    <xf numFmtId="4" fontId="4" fillId="0" borderId="0" xfId="0" applyNumberFormat="1" applyFont="1" applyAlignment="1">
      <alignment horizontal="right"/>
    </xf>
    <xf numFmtId="4" fontId="4" fillId="3" borderId="14" xfId="0" applyNumberFormat="1" applyFont="1" applyFill="1" applyBorder="1"/>
    <xf numFmtId="4" fontId="0" fillId="3" borderId="14" xfId="0" applyNumberFormat="1" applyFill="1" applyBorder="1"/>
    <xf numFmtId="0" fontId="0" fillId="3" borderId="15" xfId="0" applyFill="1" applyBorder="1"/>
    <xf numFmtId="2" fontId="0" fillId="0" borderId="0" xfId="0" applyNumberFormat="1"/>
    <xf numFmtId="0" fontId="0" fillId="3" borderId="14" xfId="0" applyFill="1" applyBorder="1"/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4" fontId="0" fillId="0" borderId="32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4" fontId="0" fillId="0" borderId="34" xfId="0" applyNumberFormat="1" applyBorder="1" applyAlignment="1">
      <alignment horizontal="center"/>
    </xf>
    <xf numFmtId="164" fontId="6" fillId="0" borderId="0" xfId="0" applyNumberFormat="1" applyFont="1"/>
    <xf numFmtId="0" fontId="2" fillId="0" borderId="7" xfId="0" applyFont="1" applyBorder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4" fontId="3" fillId="0" borderId="19" xfId="0" applyNumberFormat="1" applyFon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0" fillId="0" borderId="30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0" fillId="0" borderId="43" xfId="0" applyNumberFormat="1" applyBorder="1" applyAlignment="1">
      <alignment horizontal="center"/>
    </xf>
    <xf numFmtId="4" fontId="0" fillId="0" borderId="50" xfId="0" applyNumberFormat="1" applyBorder="1" applyAlignment="1">
      <alignment horizontal="center"/>
    </xf>
    <xf numFmtId="0" fontId="2" fillId="0" borderId="24" xfId="0" applyFont="1" applyBorder="1" applyAlignment="1">
      <alignment horizontal="right"/>
    </xf>
    <xf numFmtId="2" fontId="0" fillId="0" borderId="53" xfId="0" applyNumberFormat="1" applyBorder="1" applyAlignment="1">
      <alignment horizontal="left"/>
    </xf>
    <xf numFmtId="0" fontId="7" fillId="0" borderId="11" xfId="0" applyFont="1" applyBorder="1"/>
    <xf numFmtId="4" fontId="8" fillId="3" borderId="33" xfId="0" applyNumberFormat="1" applyFont="1" applyFill="1" applyBorder="1" applyAlignment="1">
      <alignment horizontal="center"/>
    </xf>
    <xf numFmtId="0" fontId="10" fillId="0" borderId="14" xfId="0" applyFont="1" applyBorder="1"/>
    <xf numFmtId="4" fontId="2" fillId="0" borderId="18" xfId="0" applyNumberFormat="1" applyFont="1" applyBorder="1"/>
    <xf numFmtId="4" fontId="2" fillId="0" borderId="3" xfId="0" applyNumberFormat="1" applyFont="1" applyBorder="1"/>
    <xf numFmtId="4" fontId="8" fillId="3" borderId="14" xfId="0" applyNumberFormat="1" applyFont="1" applyFill="1" applyBorder="1"/>
    <xf numFmtId="4" fontId="2" fillId="0" borderId="12" xfId="0" applyNumberFormat="1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43" fontId="12" fillId="0" borderId="0" xfId="1" applyFont="1" applyProtection="1"/>
    <xf numFmtId="4" fontId="12" fillId="0" borderId="0" xfId="0" applyNumberFormat="1" applyFont="1"/>
    <xf numFmtId="43" fontId="12" fillId="0" borderId="0" xfId="0" applyNumberFormat="1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165" fontId="13" fillId="0" borderId="0" xfId="0" applyNumberFormat="1" applyFont="1" applyAlignment="1">
      <alignment horizontal="left"/>
    </xf>
    <xf numFmtId="165" fontId="13" fillId="0" borderId="0" xfId="0" applyNumberFormat="1" applyFont="1" applyAlignment="1">
      <alignment horizontal="left" vertical="center" wrapText="1"/>
    </xf>
    <xf numFmtId="4" fontId="13" fillId="0" borderId="0" xfId="0" applyNumberFormat="1" applyFont="1"/>
    <xf numFmtId="0" fontId="12" fillId="0" borderId="37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right" vertical="center" wrapText="1"/>
    </xf>
    <xf numFmtId="2" fontId="13" fillId="0" borderId="28" xfId="0" applyNumberFormat="1" applyFont="1" applyBorder="1" applyAlignment="1">
      <alignment horizontal="right" vertical="center" wrapText="1"/>
    </xf>
    <xf numFmtId="2" fontId="13" fillId="0" borderId="1" xfId="0" applyNumberFormat="1" applyFont="1" applyBorder="1"/>
    <xf numFmtId="0" fontId="13" fillId="0" borderId="16" xfId="0" applyFont="1" applyBorder="1" applyAlignment="1">
      <alignment horizontal="left" vertical="center" wrapText="1"/>
    </xf>
    <xf numFmtId="2" fontId="13" fillId="0" borderId="23" xfId="0" applyNumberFormat="1" applyFont="1" applyBorder="1" applyAlignment="1">
      <alignment horizontal="right" vertical="center" wrapText="1"/>
    </xf>
    <xf numFmtId="2" fontId="13" fillId="0" borderId="29" xfId="0" applyNumberFormat="1" applyFont="1" applyBorder="1" applyAlignment="1">
      <alignment horizontal="right" vertical="center" wrapText="1"/>
    </xf>
    <xf numFmtId="2" fontId="13" fillId="4" borderId="16" xfId="0" applyNumberFormat="1" applyFont="1" applyFill="1" applyBorder="1"/>
    <xf numFmtId="2" fontId="13" fillId="0" borderId="16" xfId="0" applyNumberFormat="1" applyFont="1" applyBorder="1"/>
    <xf numFmtId="0" fontId="13" fillId="0" borderId="23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2" fontId="13" fillId="0" borderId="17" xfId="0" applyNumberFormat="1" applyFont="1" applyBorder="1" applyAlignment="1">
      <alignment vertical="center" wrapText="1"/>
    </xf>
    <xf numFmtId="2" fontId="13" fillId="0" borderId="20" xfId="0" applyNumberFormat="1" applyFont="1" applyBorder="1" applyAlignment="1">
      <alignment horizontal="right" vertical="center"/>
    </xf>
    <xf numFmtId="2" fontId="13" fillId="0" borderId="21" xfId="0" applyNumberFormat="1" applyFont="1" applyBorder="1" applyAlignment="1">
      <alignment horizontal="right" vertical="center" wrapText="1"/>
    </xf>
    <xf numFmtId="2" fontId="13" fillId="0" borderId="17" xfId="0" applyNumberFormat="1" applyFont="1" applyBorder="1"/>
    <xf numFmtId="0" fontId="13" fillId="0" borderId="6" xfId="0" applyFont="1" applyBorder="1" applyAlignment="1">
      <alignment horizontal="left"/>
    </xf>
    <xf numFmtId="2" fontId="13" fillId="0" borderId="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6" xfId="0" applyFont="1" applyBorder="1"/>
    <xf numFmtId="166" fontId="13" fillId="0" borderId="6" xfId="0" applyNumberFormat="1" applyFont="1" applyBorder="1" applyAlignment="1">
      <alignment horizontal="center"/>
    </xf>
    <xf numFmtId="0" fontId="13" fillId="0" borderId="16" xfId="0" applyFont="1" applyBorder="1"/>
    <xf numFmtId="0" fontId="13" fillId="0" borderId="17" xfId="0" applyFont="1" applyBorder="1"/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1" xfId="0" applyFont="1" applyBorder="1"/>
    <xf numFmtId="166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right" vertical="top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57" xfId="0" applyFont="1" applyBorder="1" applyAlignment="1">
      <alignment vertical="center"/>
    </xf>
    <xf numFmtId="0" fontId="14" fillId="0" borderId="57" xfId="0" applyFont="1" applyBorder="1" applyAlignment="1">
      <alignment vertical="center"/>
    </xf>
    <xf numFmtId="0" fontId="12" fillId="0" borderId="56" xfId="0" applyFont="1" applyBorder="1"/>
    <xf numFmtId="168" fontId="12" fillId="0" borderId="0" xfId="0" applyNumberFormat="1" applyFont="1" applyAlignment="1">
      <alignment horizontal="right"/>
    </xf>
    <xf numFmtId="0" fontId="12" fillId="3" borderId="26" xfId="0" applyFont="1" applyFill="1" applyBorder="1" applyProtection="1">
      <protection locked="0"/>
    </xf>
    <xf numFmtId="0" fontId="12" fillId="0" borderId="57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4" fillId="0" borderId="59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58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56" xfId="0" applyFont="1" applyBorder="1" applyAlignment="1">
      <alignment vertical="center"/>
    </xf>
    <xf numFmtId="0" fontId="12" fillId="0" borderId="56" xfId="0" applyFont="1" applyBorder="1" applyAlignment="1">
      <alignment horizontal="left" vertical="center"/>
    </xf>
    <xf numFmtId="166" fontId="12" fillId="0" borderId="0" xfId="0" applyNumberFormat="1" applyFont="1" applyAlignment="1">
      <alignment horizontal="center"/>
    </xf>
    <xf numFmtId="14" fontId="16" fillId="5" borderId="0" xfId="0" applyNumberFormat="1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0" fontId="13" fillId="0" borderId="0" xfId="0" applyNumberFormat="1" applyFont="1"/>
    <xf numFmtId="0" fontId="14" fillId="0" borderId="57" xfId="0" applyFont="1" applyBorder="1" applyAlignment="1" applyProtection="1">
      <alignment vertical="center"/>
      <protection locked="0"/>
    </xf>
    <xf numFmtId="0" fontId="13" fillId="0" borderId="28" xfId="0" applyFont="1" applyBorder="1" applyAlignment="1">
      <alignment horizontal="center" vertical="center" wrapText="1"/>
    </xf>
    <xf numFmtId="0" fontId="19" fillId="0" borderId="0" xfId="0" applyFont="1"/>
    <xf numFmtId="0" fontId="14" fillId="0" borderId="37" xfId="0" applyFont="1" applyBorder="1" applyAlignment="1">
      <alignment vertical="center"/>
    </xf>
    <xf numFmtId="165" fontId="12" fillId="0" borderId="0" xfId="0" applyNumberFormat="1" applyFont="1" applyAlignment="1">
      <alignment horizontal="left"/>
    </xf>
    <xf numFmtId="2" fontId="12" fillId="0" borderId="0" xfId="0" applyNumberFormat="1" applyFont="1"/>
    <xf numFmtId="0" fontId="14" fillId="0" borderId="26" xfId="0" applyFont="1" applyBorder="1" applyAlignment="1">
      <alignment vertical="center"/>
    </xf>
    <xf numFmtId="0" fontId="28" fillId="0" borderId="57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4" fillId="0" borderId="56" xfId="0" applyFont="1" applyBorder="1" applyAlignment="1">
      <alignment vertical="center"/>
    </xf>
    <xf numFmtId="10" fontId="12" fillId="0" borderId="0" xfId="0" applyNumberFormat="1" applyFont="1"/>
    <xf numFmtId="0" fontId="29" fillId="0" borderId="11" xfId="0" applyFont="1" applyBorder="1"/>
    <xf numFmtId="4" fontId="29" fillId="0" borderId="0" xfId="0" applyNumberFormat="1" applyFont="1"/>
    <xf numFmtId="0" fontId="29" fillId="3" borderId="13" xfId="0" applyFont="1" applyFill="1" applyBorder="1"/>
    <xf numFmtId="4" fontId="30" fillId="3" borderId="15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/>
    </xf>
    <xf numFmtId="4" fontId="2" fillId="0" borderId="3" xfId="0" applyNumberFormat="1" applyFont="1" applyBorder="1" applyAlignment="1">
      <alignment horizontal="center"/>
    </xf>
    <xf numFmtId="0" fontId="5" fillId="0" borderId="0" xfId="0" applyFont="1"/>
    <xf numFmtId="0" fontId="5" fillId="0" borderId="12" xfId="0" applyFont="1" applyBorder="1"/>
    <xf numFmtId="0" fontId="5" fillId="0" borderId="11" xfId="0" applyFont="1" applyBorder="1"/>
    <xf numFmtId="1" fontId="12" fillId="0" borderId="0" xfId="0" applyNumberFormat="1" applyFont="1"/>
    <xf numFmtId="1" fontId="13" fillId="0" borderId="0" xfId="0" applyNumberFormat="1" applyFont="1"/>
    <xf numFmtId="0" fontId="12" fillId="0" borderId="0" xfId="0" applyFont="1" applyProtection="1">
      <protection hidden="1"/>
    </xf>
    <xf numFmtId="0" fontId="12" fillId="0" borderId="56" xfId="0" applyFont="1" applyBorder="1" applyProtection="1">
      <protection hidden="1"/>
    </xf>
    <xf numFmtId="0" fontId="14" fillId="0" borderId="59" xfId="0" applyFont="1" applyBorder="1" applyAlignment="1" applyProtection="1">
      <alignment vertical="center"/>
      <protection hidden="1"/>
    </xf>
    <xf numFmtId="0" fontId="12" fillId="0" borderId="59" xfId="0" applyFont="1" applyBorder="1" applyAlignment="1" applyProtection="1">
      <alignment vertical="center"/>
      <protection hidden="1"/>
    </xf>
    <xf numFmtId="0" fontId="12" fillId="6" borderId="57" xfId="0" applyFont="1" applyFill="1" applyBorder="1" applyAlignment="1" applyProtection="1">
      <alignment horizontal="left" vertical="center"/>
      <protection hidden="1"/>
    </xf>
    <xf numFmtId="168" fontId="12" fillId="3" borderId="57" xfId="0" applyNumberFormat="1" applyFont="1" applyFill="1" applyBorder="1" applyAlignment="1" applyProtection="1">
      <alignment horizontal="right" vertical="center"/>
      <protection locked="0" hidden="1"/>
    </xf>
    <xf numFmtId="171" fontId="12" fillId="3" borderId="57" xfId="0" applyNumberFormat="1" applyFont="1" applyFill="1" applyBorder="1" applyAlignment="1" applyProtection="1">
      <alignment horizontal="right" vertical="center"/>
      <protection locked="0" hidden="1"/>
    </xf>
    <xf numFmtId="1" fontId="12" fillId="6" borderId="57" xfId="0" applyNumberFormat="1" applyFont="1" applyFill="1" applyBorder="1" applyAlignment="1" applyProtection="1">
      <alignment horizontal="right" vertical="center"/>
      <protection hidden="1"/>
    </xf>
    <xf numFmtId="3" fontId="19" fillId="0" borderId="57" xfId="0" applyNumberFormat="1" applyFont="1" applyBorder="1" applyAlignment="1" applyProtection="1">
      <alignment horizontal="left" vertical="center"/>
      <protection hidden="1"/>
    </xf>
    <xf numFmtId="0" fontId="12" fillId="0" borderId="57" xfId="0" applyFont="1" applyBorder="1" applyAlignment="1" applyProtection="1">
      <alignment horizontal="left" vertical="center"/>
      <protection hidden="1"/>
    </xf>
    <xf numFmtId="168" fontId="12" fillId="6" borderId="57" xfId="0" applyNumberFormat="1" applyFont="1" applyFill="1" applyBorder="1" applyAlignment="1" applyProtection="1">
      <alignment horizontal="right" vertical="center"/>
      <protection hidden="1"/>
    </xf>
    <xf numFmtId="0" fontId="14" fillId="6" borderId="58" xfId="0" applyFont="1" applyFill="1" applyBorder="1" applyAlignment="1" applyProtection="1">
      <alignment horizontal="left" vertical="center"/>
      <protection hidden="1"/>
    </xf>
    <xf numFmtId="168" fontId="14" fillId="6" borderId="58" xfId="0" applyNumberFormat="1" applyFont="1" applyFill="1" applyBorder="1" applyAlignment="1" applyProtection="1">
      <alignment horizontal="right" vertical="center"/>
      <protection hidden="1"/>
    </xf>
    <xf numFmtId="0" fontId="12" fillId="0" borderId="56" xfId="0" applyFont="1" applyBorder="1" applyAlignment="1" applyProtection="1">
      <alignment horizontal="left" vertical="center"/>
      <protection hidden="1"/>
    </xf>
    <xf numFmtId="0" fontId="12" fillId="6" borderId="57" xfId="0" applyFont="1" applyFill="1" applyBorder="1" applyAlignment="1" applyProtection="1">
      <alignment vertical="center"/>
      <protection hidden="1"/>
    </xf>
    <xf numFmtId="0" fontId="12" fillId="6" borderId="58" xfId="0" applyFont="1" applyFill="1" applyBorder="1" applyAlignment="1" applyProtection="1">
      <alignment vertical="center"/>
      <protection hidden="1"/>
    </xf>
    <xf numFmtId="168" fontId="12" fillId="6" borderId="58" xfId="0" applyNumberFormat="1" applyFont="1" applyFill="1" applyBorder="1" applyAlignment="1" applyProtection="1">
      <alignment horizontal="right" vertical="center"/>
      <protection hidden="1"/>
    </xf>
    <xf numFmtId="0" fontId="14" fillId="6" borderId="60" xfId="0" applyFont="1" applyFill="1" applyBorder="1" applyAlignment="1" applyProtection="1">
      <alignment vertical="center"/>
      <protection hidden="1"/>
    </xf>
    <xf numFmtId="168" fontId="14" fillId="6" borderId="60" xfId="0" applyNumberFormat="1" applyFont="1" applyFill="1" applyBorder="1" applyAlignment="1" applyProtection="1">
      <alignment horizontal="right" vertical="center"/>
      <protection hidden="1"/>
    </xf>
    <xf numFmtId="0" fontId="12" fillId="0" borderId="56" xfId="0" applyFont="1" applyBorder="1" applyAlignment="1" applyProtection="1">
      <alignment vertical="center"/>
      <protection hidden="1"/>
    </xf>
    <xf numFmtId="0" fontId="12" fillId="0" borderId="59" xfId="0" applyFont="1" applyBorder="1" applyAlignment="1" applyProtection="1">
      <alignment horizontal="right" vertical="center"/>
      <protection hidden="1"/>
    </xf>
    <xf numFmtId="168" fontId="12" fillId="0" borderId="59" xfId="0" applyNumberFormat="1" applyFont="1" applyBorder="1" applyAlignment="1" applyProtection="1">
      <alignment horizontal="right" vertical="center"/>
      <protection hidden="1"/>
    </xf>
    <xf numFmtId="0" fontId="12" fillId="0" borderId="57" xfId="0" applyFont="1" applyBorder="1" applyAlignment="1" applyProtection="1">
      <alignment vertical="center"/>
      <protection hidden="1"/>
    </xf>
    <xf numFmtId="168" fontId="12" fillId="6" borderId="57" xfId="0" applyNumberFormat="1" applyFont="1" applyFill="1" applyBorder="1" applyAlignment="1" applyProtection="1">
      <alignment horizontal="left" vertical="center"/>
      <protection hidden="1"/>
    </xf>
    <xf numFmtId="168" fontId="12" fillId="6" borderId="57" xfId="0" applyNumberFormat="1" applyFont="1" applyFill="1" applyBorder="1" applyAlignment="1" applyProtection="1">
      <alignment horizontal="right" vertical="center" wrapText="1"/>
      <protection hidden="1"/>
    </xf>
    <xf numFmtId="167" fontId="12" fillId="6" borderId="57" xfId="0" applyNumberFormat="1" applyFont="1" applyFill="1" applyBorder="1" applyAlignment="1" applyProtection="1">
      <alignment horizontal="left" vertical="center"/>
      <protection hidden="1"/>
    </xf>
    <xf numFmtId="168" fontId="12" fillId="0" borderId="56" xfId="0" applyNumberFormat="1" applyFont="1" applyBorder="1" applyAlignment="1" applyProtection="1">
      <alignment horizontal="right" vertical="center"/>
      <protection hidden="1"/>
    </xf>
    <xf numFmtId="0" fontId="14" fillId="0" borderId="0" xfId="0" applyFont="1" applyProtection="1">
      <protection hidden="1"/>
    </xf>
    <xf numFmtId="0" fontId="14" fillId="0" borderId="57" xfId="0" applyFont="1" applyBorder="1" applyAlignment="1" applyProtection="1">
      <alignment horizontal="left" vertical="center"/>
      <protection locked="0" hidden="1"/>
    </xf>
    <xf numFmtId="168" fontId="14" fillId="3" borderId="57" xfId="0" applyNumberFormat="1" applyFont="1" applyFill="1" applyBorder="1" applyAlignment="1" applyProtection="1">
      <alignment horizontal="right" vertical="center"/>
      <protection locked="0" hidden="1"/>
    </xf>
    <xf numFmtId="0" fontId="14" fillId="0" borderId="0" xfId="0" applyFont="1" applyAlignment="1" applyProtection="1">
      <alignment horizontal="left" vertical="center"/>
      <protection hidden="1"/>
    </xf>
    <xf numFmtId="168" fontId="14" fillId="6" borderId="0" xfId="0" applyNumberFormat="1" applyFont="1" applyFill="1" applyAlignment="1" applyProtection="1">
      <alignment horizontal="right" vertical="center"/>
      <protection hidden="1"/>
    </xf>
    <xf numFmtId="0" fontId="14" fillId="0" borderId="56" xfId="0" applyFont="1" applyBorder="1" applyAlignment="1" applyProtection="1">
      <alignment vertical="center"/>
      <protection hidden="1"/>
    </xf>
    <xf numFmtId="168" fontId="14" fillId="6" borderId="56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right"/>
      <protection hidden="1"/>
    </xf>
    <xf numFmtId="166" fontId="12" fillId="3" borderId="19" xfId="0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2" fontId="13" fillId="0" borderId="22" xfId="0" applyNumberFormat="1" applyFont="1" applyBorder="1" applyAlignment="1">
      <alignment horizontal="center" vertical="center" wrapText="1"/>
    </xf>
    <xf numFmtId="2" fontId="13" fillId="0" borderId="23" xfId="0" applyNumberFormat="1" applyFont="1" applyBorder="1" applyAlignment="1">
      <alignment horizontal="center" vertical="center" wrapText="1"/>
    </xf>
    <xf numFmtId="2" fontId="13" fillId="0" borderId="20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2" fillId="3" borderId="61" xfId="0" applyFont="1" applyFill="1" applyBorder="1" applyAlignment="1" applyProtection="1">
      <alignment horizontal="center" vertical="center"/>
      <protection locked="0" hidden="1"/>
    </xf>
    <xf numFmtId="0" fontId="22" fillId="8" borderId="56" xfId="0" applyFont="1" applyFill="1" applyBorder="1" applyAlignment="1">
      <alignment horizontal="center" vertical="center"/>
    </xf>
    <xf numFmtId="0" fontId="14" fillId="0" borderId="5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57" xfId="0" applyFont="1" applyBorder="1" applyAlignment="1">
      <alignment horizontal="left" vertical="center"/>
    </xf>
    <xf numFmtId="0" fontId="14" fillId="0" borderId="58" xfId="0" applyFont="1" applyBorder="1" applyAlignment="1">
      <alignment horizontal="left" vertical="center"/>
    </xf>
    <xf numFmtId="0" fontId="12" fillId="3" borderId="57" xfId="0" applyFont="1" applyFill="1" applyBorder="1" applyAlignment="1" applyProtection="1">
      <alignment horizontal="center" vertical="center"/>
      <protection locked="0" hidden="1"/>
    </xf>
    <xf numFmtId="0" fontId="12" fillId="7" borderId="57" xfId="0" applyFont="1" applyFill="1" applyBorder="1" applyAlignment="1" applyProtection="1">
      <alignment horizontal="center" vertical="center"/>
      <protection locked="0" hidden="1"/>
    </xf>
    <xf numFmtId="0" fontId="12" fillId="6" borderId="57" xfId="0" applyFont="1" applyFill="1" applyBorder="1" applyAlignment="1" applyProtection="1">
      <alignment horizontal="center" vertical="center"/>
      <protection hidden="1"/>
    </xf>
    <xf numFmtId="1" fontId="12" fillId="6" borderId="57" xfId="0" applyNumberFormat="1" applyFont="1" applyFill="1" applyBorder="1" applyAlignment="1" applyProtection="1">
      <alignment horizontal="center" vertical="center"/>
      <protection hidden="1"/>
    </xf>
    <xf numFmtId="14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172" fontId="12" fillId="3" borderId="5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5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16" xfId="0" applyNumberFormat="1" applyFont="1" applyBorder="1" applyAlignment="1">
      <alignment horizontal="center" vertical="center" wrapText="1"/>
    </xf>
    <xf numFmtId="170" fontId="14" fillId="6" borderId="60" xfId="0" applyNumberFormat="1" applyFont="1" applyFill="1" applyBorder="1" applyAlignment="1" applyProtection="1">
      <alignment horizontal="center" vertical="center"/>
      <protection hidden="1"/>
    </xf>
    <xf numFmtId="0" fontId="12" fillId="7" borderId="60" xfId="0" applyFont="1" applyFill="1" applyBorder="1" applyAlignment="1" applyProtection="1">
      <alignment horizontal="center" vertical="center"/>
      <protection locked="0" hidden="1"/>
    </xf>
    <xf numFmtId="4" fontId="0" fillId="0" borderId="40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30" xfId="0" applyFont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9" xfId="0" applyBorder="1" applyAlignment="1">
      <alignment horizontal="left"/>
    </xf>
    <xf numFmtId="166" fontId="6" fillId="3" borderId="4" xfId="0" applyNumberFormat="1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50" xfId="0" applyBorder="1" applyAlignment="1">
      <alignment horizontal="left"/>
    </xf>
    <xf numFmtId="0" fontId="0" fillId="0" borderId="52" xfId="0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4" fontId="0" fillId="0" borderId="38" xfId="0" applyNumberFormat="1" applyBorder="1" applyAlignment="1">
      <alignment horizontal="center"/>
    </xf>
    <xf numFmtId="4" fontId="0" fillId="0" borderId="39" xfId="0" applyNumberForma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3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0000FF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1125682</xdr:colOff>
      <xdr:row>2</xdr:row>
      <xdr:rowOff>43293</xdr:rowOff>
    </xdr:from>
    <xdr:to>
      <xdr:col>2</xdr:col>
      <xdr:colOff>2952751</xdr:colOff>
      <xdr:row>3</xdr:row>
      <xdr:rowOff>113452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57796" y="467588"/>
          <a:ext cx="1827069" cy="2520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Seleção Obrigatória</a:t>
          </a:r>
        </a:p>
      </xdr:txBody>
    </xdr:sp>
    <xdr:clientData/>
  </xdr:twoCellAnchor>
  <xdr:twoCellAnchor>
    <xdr:from>
      <xdr:col>2</xdr:col>
      <xdr:colOff>2987385</xdr:colOff>
      <xdr:row>2</xdr:row>
      <xdr:rowOff>43296</xdr:rowOff>
    </xdr:from>
    <xdr:to>
      <xdr:col>2</xdr:col>
      <xdr:colOff>4814454</xdr:colOff>
      <xdr:row>3</xdr:row>
      <xdr:rowOff>113455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499" y="467591"/>
          <a:ext cx="1827069" cy="2520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Preenchimento Obrigatório</a:t>
          </a:r>
        </a:p>
      </xdr:txBody>
    </xdr:sp>
    <xdr:clientData/>
  </xdr:twoCellAnchor>
  <xdr:twoCellAnchor>
    <xdr:from>
      <xdr:col>2</xdr:col>
      <xdr:colOff>4857749</xdr:colOff>
      <xdr:row>2</xdr:row>
      <xdr:rowOff>34636</xdr:rowOff>
    </xdr:from>
    <xdr:to>
      <xdr:col>3</xdr:col>
      <xdr:colOff>207818</xdr:colOff>
      <xdr:row>3</xdr:row>
      <xdr:rowOff>104795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89863" y="458931"/>
          <a:ext cx="1827069" cy="25200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/>
            <a:t>Preenchimento Automático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1:Z338"/>
  <sheetViews>
    <sheetView showGridLines="0" tabSelected="1" zoomScale="106" zoomScaleNormal="106" zoomScaleSheetLayoutView="85" workbookViewId="0">
      <selection activeCell="C22" sqref="C22"/>
    </sheetView>
  </sheetViews>
  <sheetFormatPr defaultColWidth="9.1796875" defaultRowHeight="12" customHeight="1" x14ac:dyDescent="0.3"/>
  <cols>
    <col min="1" max="1" width="3.54296875" style="53" customWidth="1"/>
    <col min="2" max="2" width="5.81640625" style="53" customWidth="1"/>
    <col min="3" max="3" width="100.1796875" style="53" customWidth="1"/>
    <col min="4" max="4" width="19.26953125" style="153" bestFit="1" customWidth="1"/>
    <col min="5" max="5" width="22.54296875" style="153" customWidth="1"/>
    <col min="6" max="6" width="14.7265625" style="53" customWidth="1"/>
    <col min="7" max="7" width="3.453125" style="54" hidden="1" customWidth="1"/>
    <col min="8" max="8" width="30.7265625" style="54" hidden="1" customWidth="1"/>
    <col min="9" max="9" width="8" style="54" hidden="1" customWidth="1"/>
    <col min="10" max="10" width="8.81640625" style="54" hidden="1" customWidth="1"/>
    <col min="11" max="11" width="12.453125" style="55" hidden="1" customWidth="1"/>
    <col min="12" max="12" width="12.81640625" style="54" hidden="1" customWidth="1"/>
    <col min="13" max="13" width="29.26953125" style="56" hidden="1" customWidth="1"/>
    <col min="14" max="14" width="10.7265625" style="54" hidden="1" customWidth="1"/>
    <col min="15" max="15" width="6.7265625" style="54" hidden="1" customWidth="1"/>
    <col min="16" max="16" width="3.1796875" style="54" hidden="1" customWidth="1"/>
    <col min="17" max="17" width="10.81640625" style="54" hidden="1" customWidth="1"/>
    <col min="18" max="18" width="3.1796875" style="54" customWidth="1"/>
    <col min="19" max="20" width="9.1796875" style="54" customWidth="1"/>
    <col min="21" max="22" width="9.1796875" style="53" customWidth="1"/>
    <col min="23" max="24" width="10.54296875" style="53" customWidth="1"/>
    <col min="25" max="25" width="9.1796875" style="53" customWidth="1"/>
    <col min="26" max="27" width="9.1796875" style="53"/>
    <col min="28" max="28" width="10.7265625" style="53" customWidth="1"/>
    <col min="29" max="16384" width="9.1796875" style="53"/>
  </cols>
  <sheetData>
    <row r="1" spans="2:24" ht="13" x14ac:dyDescent="0.3">
      <c r="C1" s="133" t="s">
        <v>0</v>
      </c>
    </row>
    <row r="2" spans="2:24" s="126" customFormat="1" ht="23.5" x14ac:dyDescent="0.25">
      <c r="B2" s="203" t="s">
        <v>1</v>
      </c>
      <c r="C2" s="203"/>
      <c r="D2" s="203"/>
      <c r="E2" s="203"/>
      <c r="F2" s="127"/>
      <c r="G2" s="128"/>
      <c r="H2" s="129"/>
      <c r="I2" s="129"/>
      <c r="J2" s="201"/>
      <c r="K2" s="201"/>
      <c r="L2" s="201"/>
      <c r="M2" s="201"/>
      <c r="N2" s="201"/>
      <c r="O2" s="201"/>
      <c r="P2" s="129"/>
      <c r="Q2" s="129"/>
      <c r="R2" s="129"/>
      <c r="S2" s="129"/>
      <c r="T2" s="129"/>
    </row>
    <row r="3" spans="2:24" ht="14.25" customHeight="1" x14ac:dyDescent="0.45">
      <c r="B3" s="205" t="s">
        <v>2</v>
      </c>
      <c r="C3" s="205"/>
      <c r="D3" s="205"/>
      <c r="E3" s="205"/>
      <c r="F3" s="106"/>
      <c r="G3" s="57"/>
      <c r="J3" s="64"/>
      <c r="K3" s="64"/>
      <c r="L3" s="64"/>
      <c r="M3" s="64"/>
      <c r="N3" s="64"/>
      <c r="O3" s="64"/>
    </row>
    <row r="4" spans="2:24" ht="12.75" customHeight="1" x14ac:dyDescent="0.3">
      <c r="B4" s="205"/>
      <c r="C4" s="205"/>
      <c r="D4" s="205"/>
      <c r="E4" s="205"/>
      <c r="G4" s="57"/>
    </row>
    <row r="5" spans="2:24" ht="8.15" customHeight="1" x14ac:dyDescent="0.3">
      <c r="B5" s="110"/>
      <c r="C5" s="110"/>
      <c r="D5" s="154"/>
      <c r="E5" s="154"/>
      <c r="F5" s="105"/>
      <c r="G5" s="57"/>
      <c r="K5" s="20" t="s">
        <v>3</v>
      </c>
    </row>
    <row r="6" spans="2:24" ht="15" customHeight="1" x14ac:dyDescent="0.3">
      <c r="B6" s="204" t="s">
        <v>4</v>
      </c>
      <c r="C6" s="204"/>
      <c r="D6" s="202"/>
      <c r="E6" s="202"/>
      <c r="G6" s="57"/>
      <c r="K6" s="20" t="s">
        <v>5</v>
      </c>
    </row>
    <row r="7" spans="2:24" ht="15" customHeight="1" x14ac:dyDescent="0.3">
      <c r="B7" s="206" t="s">
        <v>6</v>
      </c>
      <c r="C7" s="206"/>
      <c r="D7" s="213"/>
      <c r="E7" s="213"/>
      <c r="G7" s="57"/>
      <c r="K7" s="20"/>
    </row>
    <row r="8" spans="2:24" ht="15" customHeight="1" x14ac:dyDescent="0.3">
      <c r="B8" s="206" t="s">
        <v>7</v>
      </c>
      <c r="C8" s="206"/>
      <c r="D8" s="208"/>
      <c r="E8" s="208"/>
      <c r="G8" s="58"/>
      <c r="K8" s="20" t="s">
        <v>8</v>
      </c>
    </row>
    <row r="9" spans="2:24" ht="15" customHeight="1" x14ac:dyDescent="0.3">
      <c r="B9" s="207" t="s">
        <v>9</v>
      </c>
      <c r="C9" s="207"/>
      <c r="D9" s="227">
        <v>45870</v>
      </c>
      <c r="E9" s="227"/>
      <c r="G9" s="59"/>
      <c r="K9" s="20" t="s">
        <v>10</v>
      </c>
    </row>
    <row r="10" spans="2:24" ht="8.15" customHeight="1" x14ac:dyDescent="0.3">
      <c r="B10" s="110"/>
      <c r="C10" s="110"/>
      <c r="D10" s="154"/>
      <c r="E10" s="154"/>
      <c r="H10" s="20"/>
      <c r="K10" s="20" t="s">
        <v>11</v>
      </c>
    </row>
    <row r="11" spans="2:24" ht="15" customHeight="1" x14ac:dyDescent="0.3">
      <c r="B11" s="114" t="s">
        <v>12</v>
      </c>
      <c r="C11" s="115" t="s">
        <v>13</v>
      </c>
      <c r="D11" s="155"/>
      <c r="E11" s="156"/>
      <c r="K11" s="20" t="s">
        <v>14</v>
      </c>
    </row>
    <row r="12" spans="2:24" ht="15" customHeight="1" x14ac:dyDescent="0.3">
      <c r="B12" s="113" t="s">
        <v>15</v>
      </c>
      <c r="C12" s="108" t="s">
        <v>16</v>
      </c>
      <c r="D12" s="208"/>
      <c r="E12" s="208"/>
      <c r="G12" s="55"/>
      <c r="K12" s="20" t="s">
        <v>17</v>
      </c>
      <c r="W12" s="60"/>
    </row>
    <row r="13" spans="2:24" ht="15" customHeight="1" x14ac:dyDescent="0.3">
      <c r="B13" s="113" t="s">
        <v>18</v>
      </c>
      <c r="C13" s="108" t="s">
        <v>19</v>
      </c>
      <c r="D13" s="208"/>
      <c r="E13" s="208"/>
      <c r="G13" s="55"/>
      <c r="K13" s="20"/>
      <c r="W13" s="60"/>
    </row>
    <row r="14" spans="2:24" ht="15" customHeight="1" x14ac:dyDescent="0.3">
      <c r="B14" s="113" t="s">
        <v>20</v>
      </c>
      <c r="C14" s="108" t="s">
        <v>21</v>
      </c>
      <c r="D14" s="209" t="s">
        <v>22</v>
      </c>
      <c r="E14" s="209"/>
      <c r="G14" s="55"/>
      <c r="U14" s="61"/>
      <c r="V14" s="61"/>
      <c r="W14" s="60"/>
      <c r="X14" s="62"/>
    </row>
    <row r="15" spans="2:24" ht="15" customHeight="1" x14ac:dyDescent="0.3">
      <c r="B15" s="113" t="s">
        <v>23</v>
      </c>
      <c r="C15" s="108" t="s">
        <v>24</v>
      </c>
      <c r="D15" s="212"/>
      <c r="E15" s="212"/>
      <c r="G15" s="55"/>
      <c r="U15" s="61"/>
      <c r="V15" s="61"/>
      <c r="W15" s="60"/>
    </row>
    <row r="16" spans="2:24" ht="15" customHeight="1" x14ac:dyDescent="0.3">
      <c r="B16" s="113" t="s">
        <v>25</v>
      </c>
      <c r="C16" s="108" t="s">
        <v>26</v>
      </c>
      <c r="D16" s="212"/>
      <c r="E16" s="212"/>
      <c r="F16" s="121"/>
      <c r="G16" s="55"/>
      <c r="U16" s="61"/>
      <c r="V16" s="61"/>
      <c r="W16" s="60"/>
    </row>
    <row r="17" spans="2:24" ht="15" customHeight="1" x14ac:dyDescent="0.3">
      <c r="B17" s="113" t="s">
        <v>27</v>
      </c>
      <c r="C17" s="108" t="s">
        <v>28</v>
      </c>
      <c r="D17" s="210" t="str">
        <f>IF(OR(D15="",D16=""),"",NETWORKDAYS.INTL(D15,D16,,K111:K122))</f>
        <v/>
      </c>
      <c r="E17" s="210"/>
      <c r="G17" s="55"/>
      <c r="U17" s="61"/>
      <c r="V17" s="61"/>
      <c r="W17" s="60"/>
      <c r="X17" s="62"/>
    </row>
    <row r="18" spans="2:24" ht="15" customHeight="1" x14ac:dyDescent="0.3">
      <c r="B18" s="113" t="s">
        <v>29</v>
      </c>
      <c r="C18" s="108" t="s">
        <v>30</v>
      </c>
      <c r="D18" s="211" t="str">
        <f>IF(OR(D15="",D16=""),"",D16-D15-D17+1)</f>
        <v/>
      </c>
      <c r="E18" s="211"/>
      <c r="F18" s="64"/>
      <c r="G18" s="55"/>
      <c r="U18" s="61"/>
      <c r="V18" s="61"/>
      <c r="W18" s="60"/>
      <c r="X18" s="62"/>
    </row>
    <row r="19" spans="2:24" ht="15" customHeight="1" x14ac:dyDescent="0.3">
      <c r="B19" s="113" t="s">
        <v>31</v>
      </c>
      <c r="C19" s="108" t="s">
        <v>32</v>
      </c>
      <c r="D19" s="208"/>
      <c r="E19" s="208"/>
      <c r="F19" s="64"/>
      <c r="G19" s="55"/>
      <c r="U19" s="61"/>
      <c r="V19" s="61"/>
      <c r="W19" s="60"/>
      <c r="X19" s="62"/>
    </row>
    <row r="20" spans="2:24" ht="15" customHeight="1" x14ac:dyDescent="0.3">
      <c r="B20" s="113" t="s">
        <v>33</v>
      </c>
      <c r="C20" s="108" t="s">
        <v>34</v>
      </c>
      <c r="D20" s="209" t="s">
        <v>35</v>
      </c>
      <c r="E20" s="209"/>
      <c r="G20" s="63"/>
      <c r="U20" s="61"/>
      <c r="V20" s="61"/>
      <c r="W20" s="60"/>
      <c r="X20" s="62"/>
    </row>
    <row r="21" spans="2:24" ht="15" customHeight="1" x14ac:dyDescent="0.3">
      <c r="B21" s="113" t="s">
        <v>36</v>
      </c>
      <c r="C21" s="108" t="s">
        <v>37</v>
      </c>
      <c r="D21" s="209" t="s">
        <v>38</v>
      </c>
      <c r="E21" s="209"/>
      <c r="G21" s="63"/>
      <c r="U21" s="61"/>
      <c r="V21" s="61"/>
      <c r="W21" s="60"/>
      <c r="X21" s="62"/>
    </row>
    <row r="22" spans="2:24" ht="15" customHeight="1" x14ac:dyDescent="0.3">
      <c r="B22" s="113" t="s">
        <v>39</v>
      </c>
      <c r="C22" s="108" t="s">
        <v>40</v>
      </c>
      <c r="D22" s="209" t="s">
        <v>41</v>
      </c>
      <c r="E22" s="209"/>
      <c r="G22" s="63"/>
      <c r="U22" s="61"/>
      <c r="V22" s="61"/>
      <c r="W22" s="60"/>
      <c r="X22" s="62"/>
    </row>
    <row r="23" spans="2:24" ht="15" customHeight="1" x14ac:dyDescent="0.3">
      <c r="B23" s="113" t="s">
        <v>42</v>
      </c>
      <c r="C23" s="108" t="s">
        <v>43</v>
      </c>
      <c r="D23" s="210">
        <f>IFERROR(IF(D22="Avião","Não se aplica",2*VLOOKUP(D21,H82:N104,4,FALSE)),"")</f>
        <v>0</v>
      </c>
      <c r="E23" s="210"/>
      <c r="G23" s="63"/>
      <c r="U23" s="61"/>
      <c r="V23" s="61"/>
      <c r="W23" s="60"/>
      <c r="X23" s="62"/>
    </row>
    <row r="24" spans="2:24" ht="15" customHeight="1" x14ac:dyDescent="0.3">
      <c r="B24" s="113" t="s">
        <v>44</v>
      </c>
      <c r="C24" s="108" t="s">
        <v>45</v>
      </c>
      <c r="D24" s="209" t="s">
        <v>46</v>
      </c>
      <c r="E24" s="209"/>
      <c r="G24" s="63"/>
      <c r="U24" s="61"/>
      <c r="V24" s="61"/>
      <c r="W24" s="60"/>
    </row>
    <row r="25" spans="2:24" ht="15" customHeight="1" x14ac:dyDescent="0.3">
      <c r="B25" s="113" t="s">
        <v>47</v>
      </c>
      <c r="C25" s="108" t="s">
        <v>48</v>
      </c>
      <c r="D25" s="210">
        <f>IFERROR(IF(D24="Atracado",2*VLOOKUP(D21,H82:N104,2,FALSE),2*VLOOKUP(D21,H82:N104,3,FALSE)),0)</f>
        <v>2</v>
      </c>
      <c r="E25" s="210"/>
      <c r="G25" s="63"/>
      <c r="U25" s="61"/>
      <c r="V25" s="61"/>
      <c r="W25" s="60"/>
    </row>
    <row r="26" spans="2:24" ht="15" customHeight="1" x14ac:dyDescent="0.3">
      <c r="B26" s="113" t="s">
        <v>49</v>
      </c>
      <c r="C26" s="108" t="s">
        <v>50</v>
      </c>
      <c r="D26" s="211">
        <f>IFERROR(E38*0.15,"")</f>
        <v>0</v>
      </c>
      <c r="E26" s="211"/>
      <c r="G26" s="105"/>
      <c r="H26" s="53"/>
      <c r="I26" s="53"/>
      <c r="J26" s="53"/>
      <c r="K26" s="64"/>
      <c r="L26" s="53"/>
      <c r="M26" s="136"/>
      <c r="N26" s="53"/>
      <c r="O26" s="53"/>
      <c r="P26" s="53"/>
      <c r="Q26" s="53"/>
      <c r="R26" s="53"/>
      <c r="S26" s="53"/>
      <c r="T26" s="53"/>
      <c r="U26" s="61"/>
      <c r="V26" s="61"/>
      <c r="W26" s="60"/>
    </row>
    <row r="27" spans="2:24" ht="15" customHeight="1" x14ac:dyDescent="0.3">
      <c r="B27" s="113" t="s">
        <v>51</v>
      </c>
      <c r="C27" s="108" t="s">
        <v>52</v>
      </c>
      <c r="D27" s="209" t="s">
        <v>53</v>
      </c>
      <c r="E27" s="209"/>
      <c r="W27" s="60"/>
      <c r="X27" s="62"/>
    </row>
    <row r="28" spans="2:24" ht="15" customHeight="1" x14ac:dyDescent="0.3">
      <c r="B28" s="113" t="s">
        <v>54</v>
      </c>
      <c r="C28" s="108" t="s">
        <v>55</v>
      </c>
      <c r="D28" s="209" t="s">
        <v>56</v>
      </c>
      <c r="E28" s="209"/>
      <c r="W28" s="60"/>
    </row>
    <row r="29" spans="2:24" ht="15" customHeight="1" x14ac:dyDescent="0.3">
      <c r="B29" s="146" t="s">
        <v>57</v>
      </c>
      <c r="C29" s="107" t="s">
        <v>58</v>
      </c>
      <c r="D29" s="228" t="s">
        <v>59</v>
      </c>
      <c r="E29" s="228"/>
      <c r="W29" s="60"/>
    </row>
    <row r="30" spans="2:24" ht="8.15" customHeight="1" x14ac:dyDescent="0.3">
      <c r="B30" s="110"/>
      <c r="C30" s="110"/>
      <c r="D30" s="154"/>
      <c r="E30" s="154"/>
    </row>
    <row r="31" spans="2:24" ht="15" customHeight="1" x14ac:dyDescent="0.3">
      <c r="B31" s="115" t="s">
        <v>60</v>
      </c>
      <c r="C31" s="115" t="s">
        <v>61</v>
      </c>
      <c r="D31" s="156"/>
      <c r="E31" s="156"/>
      <c r="G31" s="66"/>
    </row>
    <row r="32" spans="2:24" s="54" customFormat="1" ht="15" customHeight="1" x14ac:dyDescent="0.3">
      <c r="B32" s="109" t="s">
        <v>62</v>
      </c>
      <c r="C32" s="109" t="s">
        <v>63</v>
      </c>
      <c r="D32" s="157" t="s">
        <v>64</v>
      </c>
      <c r="E32" s="158"/>
      <c r="G32" s="66"/>
      <c r="K32" s="55"/>
      <c r="M32" s="56"/>
    </row>
    <row r="33" spans="2:20" ht="15" customHeight="1" x14ac:dyDescent="0.3">
      <c r="B33" s="109" t="s">
        <v>65</v>
      </c>
      <c r="C33" s="109" t="s">
        <v>66</v>
      </c>
      <c r="D33" s="157" t="s">
        <v>67</v>
      </c>
      <c r="E33" s="158"/>
      <c r="G33" s="135"/>
      <c r="H33" s="53"/>
      <c r="I33" s="53"/>
      <c r="J33" s="53"/>
      <c r="K33" s="64"/>
      <c r="L33" s="53"/>
      <c r="M33" s="136"/>
      <c r="N33" s="53"/>
      <c r="O33" s="53"/>
      <c r="P33" s="53"/>
      <c r="Q33" s="53"/>
      <c r="R33" s="53"/>
      <c r="S33" s="53"/>
      <c r="T33" s="53"/>
    </row>
    <row r="34" spans="2:20" ht="15" customHeight="1" x14ac:dyDescent="0.3">
      <c r="B34" s="109" t="s">
        <v>68</v>
      </c>
      <c r="C34" s="109" t="s">
        <v>69</v>
      </c>
      <c r="D34" s="157" t="s">
        <v>67</v>
      </c>
      <c r="E34" s="158"/>
      <c r="G34" s="135"/>
      <c r="H34" s="151"/>
      <c r="I34" s="53"/>
      <c r="J34" s="53"/>
      <c r="K34" s="64"/>
      <c r="L34" s="53"/>
      <c r="M34" s="136"/>
      <c r="N34" s="53"/>
      <c r="O34" s="53"/>
      <c r="P34" s="53"/>
      <c r="Q34" s="53"/>
      <c r="R34" s="53"/>
      <c r="S34" s="53"/>
      <c r="T34" s="53"/>
    </row>
    <row r="35" spans="2:20" ht="15" customHeight="1" x14ac:dyDescent="0.3">
      <c r="B35" s="138" t="s">
        <v>70</v>
      </c>
      <c r="C35" s="138" t="s">
        <v>71</v>
      </c>
      <c r="D35" s="159"/>
      <c r="E35" s="160"/>
      <c r="F35" s="139"/>
      <c r="G35" s="135"/>
      <c r="H35" s="53"/>
      <c r="I35" s="53"/>
      <c r="J35" s="53"/>
      <c r="K35" s="64"/>
      <c r="L35" s="53"/>
      <c r="M35" s="136"/>
      <c r="N35" s="53"/>
      <c r="O35" s="53"/>
      <c r="P35" s="53"/>
      <c r="Q35" s="53"/>
      <c r="R35" s="53"/>
      <c r="S35" s="53"/>
      <c r="T35" s="53"/>
    </row>
    <row r="36" spans="2:20" ht="15" customHeight="1" x14ac:dyDescent="0.3">
      <c r="B36" s="138" t="s">
        <v>72</v>
      </c>
      <c r="C36" s="138" t="s">
        <v>73</v>
      </c>
      <c r="D36" s="160" t="str">
        <f>IFERROR(IF(D35&lt;=8,D17*D35&amp;" Hs normais",D17*8&amp;" Hs normais"),"0 Hs normais")</f>
        <v>0 Hs normais</v>
      </c>
      <c r="E36" s="160" t="str">
        <f>IF(D35&gt;8,D17*(D35-8)&amp;" Hs extras",0&amp;" Hs extras")</f>
        <v>0 Hs extras</v>
      </c>
      <c r="G36" s="135"/>
      <c r="H36" s="53"/>
      <c r="I36" s="53"/>
      <c r="J36" s="53"/>
      <c r="K36" s="64"/>
      <c r="L36" s="53"/>
      <c r="M36" s="136"/>
      <c r="N36" s="53"/>
      <c r="O36" s="53"/>
      <c r="P36" s="53"/>
      <c r="Q36" s="53"/>
      <c r="R36" s="53"/>
      <c r="S36" s="53"/>
      <c r="T36" s="53"/>
    </row>
    <row r="37" spans="2:20" ht="15" customHeight="1" x14ac:dyDescent="0.3">
      <c r="B37" s="108" t="s">
        <v>74</v>
      </c>
      <c r="C37" s="138" t="s">
        <v>75</v>
      </c>
      <c r="D37" s="161" t="e">
        <f>E35*D17&amp;" Hs extras"</f>
        <v>#VALUE!</v>
      </c>
      <c r="E37" s="160" t="str">
        <f>IFERROR(D35*D18&amp;" Hs extras","0 Hs extras")</f>
        <v>0 Hs extras</v>
      </c>
      <c r="G37" s="66"/>
      <c r="H37" s="152"/>
    </row>
    <row r="38" spans="2:20" ht="15" customHeight="1" x14ac:dyDescent="0.3">
      <c r="B38" s="108" t="s">
        <v>76</v>
      </c>
      <c r="C38" s="138" t="s">
        <v>77</v>
      </c>
      <c r="D38" s="162"/>
      <c r="E38" s="160">
        <f>IFERROR((D17+D18)*D35,0)</f>
        <v>0</v>
      </c>
      <c r="G38" s="66"/>
    </row>
    <row r="39" spans="2:20" s="54" customFormat="1" ht="15" customHeight="1" x14ac:dyDescent="0.3">
      <c r="B39" s="108" t="s">
        <v>78</v>
      </c>
      <c r="C39" s="108" t="s">
        <v>79</v>
      </c>
      <c r="D39" s="157" t="s">
        <v>80</v>
      </c>
      <c r="E39" s="163">
        <f>IF(D29="Valor Fixo (oficina/bordo/bordo&amp;oficina)","Não se aplica",(IF(LEFT(D36,3)&lt;&gt;"",LEFT(D36,2),LEFT(D36,3))*E33)+(IF(LEFT(E36,3)&lt;&gt;"",LEFT(E36,2),LEFT(E36,3))*E34)+(IF(LEFT(E37,3)&lt;&gt;"",LEFT(E37,2),LEFT(E37,3))*E34))</f>
        <v>0</v>
      </c>
      <c r="G39" s="66"/>
      <c r="K39" s="55"/>
      <c r="M39" s="56"/>
    </row>
    <row r="40" spans="2:20" ht="15" customHeight="1" x14ac:dyDescent="0.3">
      <c r="B40" s="116"/>
      <c r="C40" s="117"/>
      <c r="D40" s="164" t="s">
        <v>81</v>
      </c>
      <c r="E40" s="165">
        <f>IF(D29="Valor Fixo (oficina/bordo/bordo&amp;oficina)",E32,IF(D29="Valor Fixo (oficina) + HS",E32+E39,E39))</f>
        <v>0</v>
      </c>
      <c r="G40" s="66"/>
    </row>
    <row r="41" spans="2:20" ht="8.15" customHeight="1" x14ac:dyDescent="0.3">
      <c r="B41" s="119"/>
      <c r="C41" s="120"/>
      <c r="D41" s="166"/>
      <c r="E41" s="166"/>
      <c r="F41" s="111"/>
      <c r="G41" s="66"/>
    </row>
    <row r="42" spans="2:20" ht="15" customHeight="1" x14ac:dyDescent="0.3">
      <c r="B42" s="134" t="s">
        <v>82</v>
      </c>
      <c r="C42" s="134" t="s">
        <v>83</v>
      </c>
      <c r="G42" s="135"/>
      <c r="H42" s="53"/>
      <c r="I42" s="53"/>
      <c r="J42" s="53"/>
      <c r="K42" s="64"/>
      <c r="L42" s="53"/>
      <c r="M42" s="136"/>
      <c r="N42" s="53"/>
      <c r="O42" s="53"/>
      <c r="P42" s="53"/>
      <c r="Q42" s="53"/>
      <c r="R42" s="53"/>
      <c r="S42" s="53"/>
      <c r="T42" s="53"/>
    </row>
    <row r="43" spans="2:20" ht="15" customHeight="1" x14ac:dyDescent="0.3">
      <c r="B43" s="108" t="s">
        <v>84</v>
      </c>
      <c r="C43" s="108" t="s">
        <v>85</v>
      </c>
      <c r="D43" s="167" t="s">
        <v>86</v>
      </c>
      <c r="E43" s="163">
        <f>IF(D20="Apenas em oficina","Não se aplica",(D26*E33))</f>
        <v>0</v>
      </c>
      <c r="G43" s="135"/>
      <c r="H43" s="53"/>
      <c r="I43" s="53"/>
      <c r="J43" s="53"/>
      <c r="K43" s="64"/>
      <c r="L43" s="53"/>
      <c r="M43" s="136"/>
      <c r="N43" s="53"/>
      <c r="O43" s="53"/>
      <c r="P43" s="53"/>
      <c r="Q43" s="53"/>
      <c r="R43" s="53"/>
      <c r="S43" s="53"/>
      <c r="T43" s="53"/>
    </row>
    <row r="44" spans="2:20" ht="15" customHeight="1" x14ac:dyDescent="0.3">
      <c r="B44" s="108" t="s">
        <v>84</v>
      </c>
      <c r="C44" s="108" t="s">
        <v>87</v>
      </c>
      <c r="D44" s="168" t="s">
        <v>88</v>
      </c>
      <c r="E44" s="169">
        <f>IF(D20="Apenas em oficina","Não se aplica",(D25*E33))</f>
        <v>0</v>
      </c>
      <c r="G44" s="135"/>
      <c r="H44" s="53"/>
      <c r="I44" s="53"/>
      <c r="J44" s="53"/>
      <c r="K44" s="64"/>
      <c r="L44" s="53"/>
      <c r="M44" s="136"/>
      <c r="N44" s="53"/>
      <c r="O44" s="53"/>
      <c r="P44" s="53"/>
      <c r="Q44" s="53"/>
      <c r="R44" s="53"/>
      <c r="S44" s="53"/>
      <c r="T44" s="53"/>
    </row>
    <row r="45" spans="2:20" ht="15" customHeight="1" x14ac:dyDescent="0.3">
      <c r="B45" s="137"/>
      <c r="C45" s="137"/>
      <c r="D45" s="170" t="s">
        <v>89</v>
      </c>
      <c r="E45" s="171">
        <f>IFERROR((E43+E44),0)</f>
        <v>0</v>
      </c>
      <c r="G45" s="135"/>
      <c r="H45" s="53"/>
      <c r="I45" s="53"/>
      <c r="J45" s="53"/>
      <c r="K45" s="64"/>
      <c r="L45" s="53"/>
      <c r="M45" s="136"/>
      <c r="N45" s="53"/>
      <c r="O45" s="53"/>
      <c r="P45" s="53"/>
      <c r="Q45" s="53"/>
      <c r="R45" s="53"/>
      <c r="S45" s="53"/>
      <c r="T45" s="53"/>
    </row>
    <row r="46" spans="2:20" ht="8.15" customHeight="1" x14ac:dyDescent="0.3">
      <c r="B46" s="119"/>
      <c r="C46" s="119"/>
      <c r="D46" s="172"/>
      <c r="E46" s="172"/>
      <c r="G46" s="67"/>
    </row>
    <row r="47" spans="2:20" ht="15" customHeight="1" x14ac:dyDescent="0.3">
      <c r="B47" s="115" t="s">
        <v>90</v>
      </c>
      <c r="C47" s="115" t="s">
        <v>91</v>
      </c>
      <c r="D47" s="173"/>
      <c r="E47" s="174"/>
      <c r="G47" s="67"/>
    </row>
    <row r="48" spans="2:20" ht="15" customHeight="1" x14ac:dyDescent="0.3">
      <c r="B48" s="108" t="s">
        <v>92</v>
      </c>
      <c r="C48" s="108" t="s">
        <v>93</v>
      </c>
      <c r="D48" s="175"/>
      <c r="E48" s="163">
        <f>IFERROR(VLOOKUP(D21,H82:N104,7,FALSE),0)</f>
        <v>0</v>
      </c>
      <c r="G48" s="67"/>
    </row>
    <row r="49" spans="2:22" ht="15" customHeight="1" x14ac:dyDescent="0.3">
      <c r="B49" s="108" t="s">
        <v>94</v>
      </c>
      <c r="C49" s="108" t="s">
        <v>95</v>
      </c>
      <c r="D49" s="176" t="str">
        <f>'Km rodado, refeição e Lancha'!B20&amp;" R$/Km"</f>
        <v>2,9 R$/Km</v>
      </c>
      <c r="E49" s="177">
        <f>IF(D22="Carro próprio",$D$23*L82,0)</f>
        <v>0</v>
      </c>
      <c r="G49" s="66"/>
      <c r="U49" s="61"/>
    </row>
    <row r="50" spans="2:22" ht="15" customHeight="1" x14ac:dyDescent="0.3">
      <c r="B50" s="108" t="s">
        <v>96</v>
      </c>
      <c r="C50" s="108" t="s">
        <v>97</v>
      </c>
      <c r="D50" s="175"/>
      <c r="E50" s="177">
        <f>IF(D14="Outros portos","Não se aplica",IF(D27="Fornecimento da contratada",IF(D28="Fornecimento pela contratada",D17*3*'Km rodado, refeição e Lancha'!I19+D18*3*'Km rodado, refeição e Lancha'!J19,D17*2*'Km rodado, refeição e Lancha'!I19+D18*2*'Km rodado, refeição e Lancha'!J19),IF(D28="Fornecimento pela contratada",D17*1*'Km rodado, refeição e Lancha'!I19+D18*1*'Km rodado, refeição e Lancha'!J19,0)))</f>
        <v>0</v>
      </c>
      <c r="G50" s="66"/>
      <c r="H50" s="68"/>
      <c r="K50" s="68"/>
    </row>
    <row r="51" spans="2:22" ht="15" customHeight="1" x14ac:dyDescent="0.3">
      <c r="B51" s="108" t="s">
        <v>98</v>
      </c>
      <c r="C51" s="108" t="s">
        <v>99</v>
      </c>
      <c r="D51" s="178">
        <f>'Km rodado, refeição e Lancha'!B26</f>
        <v>75</v>
      </c>
      <c r="E51" s="177">
        <f>IF(D14="Rio de Janeiro",IF(D28="Fornecimento pelo navio",0,D19*(D17+D18)*D51),0)</f>
        <v>0</v>
      </c>
      <c r="G51" s="66"/>
      <c r="V51" s="107"/>
    </row>
    <row r="52" spans="2:22" ht="15" customHeight="1" x14ac:dyDescent="0.3">
      <c r="B52" s="116"/>
      <c r="C52" s="116"/>
      <c r="D52" s="164" t="s">
        <v>100</v>
      </c>
      <c r="E52" s="165">
        <f>SUM(E48:E51)</f>
        <v>0</v>
      </c>
      <c r="G52" s="66"/>
    </row>
    <row r="53" spans="2:22" ht="8.15" customHeight="1" x14ac:dyDescent="0.3">
      <c r="B53" s="119"/>
      <c r="C53" s="119"/>
      <c r="D53" s="166"/>
      <c r="E53" s="179"/>
      <c r="G53" s="66"/>
    </row>
    <row r="54" spans="2:22" ht="15" customHeight="1" x14ac:dyDescent="0.3">
      <c r="B54" s="118" t="s">
        <v>101</v>
      </c>
      <c r="C54" s="118" t="s">
        <v>102</v>
      </c>
      <c r="D54" s="180" t="s">
        <v>103</v>
      </c>
      <c r="E54" s="180" t="s">
        <v>104</v>
      </c>
    </row>
    <row r="55" spans="2:22" ht="15" customHeight="1" x14ac:dyDescent="0.3">
      <c r="B55" s="109"/>
      <c r="C55" s="131"/>
      <c r="D55" s="181"/>
      <c r="E55" s="182"/>
    </row>
    <row r="56" spans="2:22" ht="15" customHeight="1" x14ac:dyDescent="0.3">
      <c r="B56" s="109"/>
      <c r="C56" s="131"/>
      <c r="D56" s="181"/>
      <c r="E56" s="182"/>
    </row>
    <row r="57" spans="2:22" ht="15" customHeight="1" x14ac:dyDescent="0.3">
      <c r="B57" s="109"/>
      <c r="C57" s="131"/>
      <c r="D57" s="181"/>
      <c r="E57" s="182"/>
    </row>
    <row r="58" spans="2:22" ht="15" customHeight="1" x14ac:dyDescent="0.3">
      <c r="B58" s="109"/>
      <c r="C58" s="131"/>
      <c r="D58" s="181"/>
      <c r="E58" s="182"/>
    </row>
    <row r="59" spans="2:22" ht="15" customHeight="1" x14ac:dyDescent="0.3">
      <c r="B59" s="109"/>
      <c r="C59" s="131"/>
      <c r="D59" s="181"/>
      <c r="E59" s="182"/>
    </row>
    <row r="60" spans="2:22" ht="15" customHeight="1" x14ac:dyDescent="0.3">
      <c r="B60" s="109"/>
      <c r="C60" s="131"/>
      <c r="D60" s="181"/>
      <c r="E60" s="182"/>
    </row>
    <row r="61" spans="2:22" ht="15" customHeight="1" x14ac:dyDescent="0.3">
      <c r="B61" s="109"/>
      <c r="C61" s="131"/>
      <c r="D61" s="181"/>
      <c r="E61" s="182"/>
      <c r="J61" s="130" t="e">
        <f>(1-(E40-E63)/E40)</f>
        <v>#DIV/0!</v>
      </c>
    </row>
    <row r="62" spans="2:22" ht="15" customHeight="1" x14ac:dyDescent="0.3">
      <c r="B62" s="109"/>
      <c r="C62" s="131"/>
      <c r="D62" s="181"/>
      <c r="E62" s="182"/>
      <c r="J62" s="130" t="e">
        <f>(E40-E63)/E40</f>
        <v>#DIV/0!</v>
      </c>
    </row>
    <row r="63" spans="2:22" ht="15" customHeight="1" x14ac:dyDescent="0.3">
      <c r="B63" s="118"/>
      <c r="C63" s="118"/>
      <c r="D63" s="183" t="s">
        <v>105</v>
      </c>
      <c r="E63" s="184">
        <f>SUM(E55:E62)</f>
        <v>0</v>
      </c>
    </row>
    <row r="64" spans="2:22" ht="8.15" customHeight="1" x14ac:dyDescent="0.3">
      <c r="B64" s="119"/>
      <c r="C64" s="119"/>
      <c r="D64" s="172"/>
      <c r="E64" s="179"/>
    </row>
    <row r="65" spans="2:20" ht="15" customHeight="1" x14ac:dyDescent="0.3">
      <c r="B65" s="140" t="s">
        <v>106</v>
      </c>
      <c r="C65" s="140" t="s">
        <v>107</v>
      </c>
      <c r="D65" s="185"/>
      <c r="E65" s="186">
        <f>IF(E45="Não se aplica", E40+E52+E63,E40+E45+E52+E63)</f>
        <v>0</v>
      </c>
      <c r="G65" s="53"/>
      <c r="H65" s="53"/>
      <c r="I65" s="53"/>
      <c r="J65" s="141"/>
      <c r="K65" s="64"/>
      <c r="L65" s="53"/>
      <c r="M65" s="136"/>
      <c r="N65" s="53"/>
      <c r="O65" s="53"/>
      <c r="P65" s="53"/>
      <c r="Q65" s="53"/>
      <c r="R65" s="53"/>
      <c r="S65" s="53"/>
      <c r="T65" s="53"/>
    </row>
    <row r="66" spans="2:20" ht="12" customHeight="1" x14ac:dyDescent="0.3">
      <c r="J66" s="130" t="e">
        <f>IF(E63&lt;E40,(1-(E40-E63)/E40),((E40-E63)/E40))</f>
        <v>#DIV/0!</v>
      </c>
    </row>
    <row r="67" spans="2:20" ht="12" customHeight="1" x14ac:dyDescent="0.3">
      <c r="C67" s="53" t="s">
        <v>108</v>
      </c>
      <c r="G67" s="55"/>
      <c r="J67" s="130"/>
    </row>
    <row r="68" spans="2:20" ht="12" customHeight="1" x14ac:dyDescent="0.3">
      <c r="J68" s="130"/>
    </row>
    <row r="69" spans="2:20" ht="12" customHeight="1" x14ac:dyDescent="0.3">
      <c r="C69" s="112"/>
      <c r="D69" s="187" t="s">
        <v>109</v>
      </c>
      <c r="E69" s="188"/>
      <c r="J69" s="130"/>
    </row>
    <row r="70" spans="2:20" ht="12" customHeight="1" x14ac:dyDescent="0.3">
      <c r="C70" s="69" t="s">
        <v>110</v>
      </c>
      <c r="E70" s="189"/>
      <c r="F70" s="64"/>
    </row>
    <row r="74" spans="2:20" ht="12" customHeight="1" x14ac:dyDescent="0.3">
      <c r="M74" s="54"/>
    </row>
    <row r="75" spans="2:20" ht="12" customHeight="1" x14ac:dyDescent="0.3">
      <c r="M75" s="54"/>
    </row>
    <row r="76" spans="2:20" ht="12" customHeight="1" thickBot="1" x14ac:dyDescent="0.35">
      <c r="H76" s="54" t="s">
        <v>111</v>
      </c>
    </row>
    <row r="77" spans="2:20" ht="12" customHeight="1" thickBot="1" x14ac:dyDescent="0.35">
      <c r="H77" s="196" t="s">
        <v>112</v>
      </c>
      <c r="I77" s="218" t="s">
        <v>113</v>
      </c>
      <c r="J77" s="219"/>
      <c r="K77" s="196" t="s">
        <v>114</v>
      </c>
      <c r="L77" s="196" t="s">
        <v>115</v>
      </c>
      <c r="M77" s="199" t="s">
        <v>116</v>
      </c>
      <c r="N77" s="200"/>
      <c r="O77" s="196" t="s">
        <v>117</v>
      </c>
    </row>
    <row r="78" spans="2:20" ht="12" customHeight="1" x14ac:dyDescent="0.3">
      <c r="H78" s="197"/>
      <c r="I78" s="220"/>
      <c r="J78" s="221"/>
      <c r="K78" s="197"/>
      <c r="L78" s="197"/>
      <c r="M78" s="193" t="s">
        <v>118</v>
      </c>
      <c r="N78" s="190" t="s">
        <v>119</v>
      </c>
      <c r="O78" s="197"/>
    </row>
    <row r="79" spans="2:20" ht="12" customHeight="1" x14ac:dyDescent="0.3">
      <c r="H79" s="197"/>
      <c r="I79" s="222" t="s">
        <v>120</v>
      </c>
      <c r="J79" s="217" t="s">
        <v>121</v>
      </c>
      <c r="K79" s="197"/>
      <c r="L79" s="197"/>
      <c r="M79" s="194"/>
      <c r="N79" s="191"/>
      <c r="O79" s="197"/>
    </row>
    <row r="80" spans="2:20" ht="12" customHeight="1" x14ac:dyDescent="0.3">
      <c r="H80" s="197"/>
      <c r="I80" s="223"/>
      <c r="J80" s="191"/>
      <c r="K80" s="197"/>
      <c r="L80" s="197"/>
      <c r="M80" s="194"/>
      <c r="N80" s="191"/>
      <c r="O80" s="197"/>
    </row>
    <row r="81" spans="8:15" ht="12" customHeight="1" thickBot="1" x14ac:dyDescent="0.35">
      <c r="H81" s="198"/>
      <c r="I81" s="224"/>
      <c r="J81" s="192"/>
      <c r="K81" s="198"/>
      <c r="L81" s="198"/>
      <c r="M81" s="195"/>
      <c r="N81" s="192"/>
      <c r="O81" s="198"/>
    </row>
    <row r="82" spans="8:15" ht="12" customHeight="1" x14ac:dyDescent="0.3">
      <c r="H82" s="70" t="s">
        <v>38</v>
      </c>
      <c r="I82" s="71">
        <v>1</v>
      </c>
      <c r="J82" s="132">
        <v>1</v>
      </c>
      <c r="K82" s="72">
        <v>0</v>
      </c>
      <c r="L82" s="225">
        <f>'Km rodado, refeição e Lancha'!B20</f>
        <v>2.9</v>
      </c>
      <c r="M82" s="73">
        <v>0</v>
      </c>
      <c r="N82" s="74">
        <v>0</v>
      </c>
      <c r="O82" s="75"/>
    </row>
    <row r="83" spans="8:15" ht="12" customHeight="1" x14ac:dyDescent="0.3">
      <c r="H83" s="76" t="s">
        <v>122</v>
      </c>
      <c r="I83" s="81">
        <v>4</v>
      </c>
      <c r="J83" s="82">
        <v>5</v>
      </c>
      <c r="K83" s="65">
        <v>174</v>
      </c>
      <c r="L83" s="226"/>
      <c r="M83" s="77">
        <v>0</v>
      </c>
      <c r="N83" s="78">
        <v>0</v>
      </c>
      <c r="O83" s="79">
        <f>54*2.22</f>
        <v>119.88000000000001</v>
      </c>
    </row>
    <row r="84" spans="8:15" ht="12" customHeight="1" x14ac:dyDescent="0.3">
      <c r="H84" s="76" t="s">
        <v>123</v>
      </c>
      <c r="I84" s="81">
        <v>9</v>
      </c>
      <c r="J84" s="82">
        <v>10</v>
      </c>
      <c r="K84" s="65">
        <v>0</v>
      </c>
      <c r="L84" s="226"/>
      <c r="M84" s="77">
        <v>97</v>
      </c>
      <c r="N84" s="78">
        <f>2*(M84+M$106)</f>
        <v>512</v>
      </c>
      <c r="O84" s="80"/>
    </row>
    <row r="85" spans="8:15" ht="12" customHeight="1" x14ac:dyDescent="0.3">
      <c r="H85" s="76" t="s">
        <v>124</v>
      </c>
      <c r="I85" s="81">
        <v>8</v>
      </c>
      <c r="J85" s="82">
        <v>9</v>
      </c>
      <c r="K85" s="65">
        <v>0</v>
      </c>
      <c r="L85" s="226"/>
      <c r="M85" s="77">
        <v>111</v>
      </c>
      <c r="N85" s="78">
        <f>2*(M85+M$106)</f>
        <v>540</v>
      </c>
      <c r="O85" s="80"/>
    </row>
    <row r="86" spans="8:15" ht="12" customHeight="1" x14ac:dyDescent="0.3">
      <c r="H86" s="76" t="s">
        <v>125</v>
      </c>
      <c r="I86" s="81">
        <v>8</v>
      </c>
      <c r="J86" s="82">
        <v>9</v>
      </c>
      <c r="K86" s="65">
        <v>0</v>
      </c>
      <c r="L86" s="226"/>
      <c r="M86" s="77">
        <v>66</v>
      </c>
      <c r="N86" s="78">
        <f>2*(M86+M$106)</f>
        <v>450</v>
      </c>
      <c r="O86" s="80"/>
    </row>
    <row r="87" spans="8:15" ht="12" customHeight="1" x14ac:dyDescent="0.3">
      <c r="H87" s="76" t="s">
        <v>126</v>
      </c>
      <c r="I87" s="81">
        <v>5</v>
      </c>
      <c r="J87" s="82">
        <v>6</v>
      </c>
      <c r="K87" s="65">
        <v>215</v>
      </c>
      <c r="L87" s="226"/>
      <c r="M87" s="77">
        <v>0</v>
      </c>
      <c r="N87" s="78">
        <v>0</v>
      </c>
      <c r="O87" s="79">
        <f>75.46*2.22</f>
        <v>167.52119999999999</v>
      </c>
    </row>
    <row r="88" spans="8:15" ht="12" customHeight="1" x14ac:dyDescent="0.3">
      <c r="H88" s="76" t="s">
        <v>127</v>
      </c>
      <c r="I88" s="81">
        <v>11</v>
      </c>
      <c r="J88" s="82">
        <v>12</v>
      </c>
      <c r="K88" s="65">
        <v>0</v>
      </c>
      <c r="L88" s="226"/>
      <c r="M88" s="77">
        <v>115</v>
      </c>
      <c r="N88" s="78">
        <f t="shared" ref="N88:N94" si="0">2*(M88+M$106)</f>
        <v>548</v>
      </c>
      <c r="O88" s="80"/>
    </row>
    <row r="89" spans="8:15" ht="12" customHeight="1" x14ac:dyDescent="0.3">
      <c r="H89" s="76" t="s">
        <v>128</v>
      </c>
      <c r="I89" s="81">
        <v>10</v>
      </c>
      <c r="J89" s="82">
        <v>11</v>
      </c>
      <c r="K89" s="65">
        <v>0</v>
      </c>
      <c r="L89" s="226"/>
      <c r="M89" s="77">
        <v>149</v>
      </c>
      <c r="N89" s="78">
        <f t="shared" si="0"/>
        <v>616</v>
      </c>
      <c r="O89" s="80"/>
    </row>
    <row r="90" spans="8:15" ht="12" customHeight="1" x14ac:dyDescent="0.3">
      <c r="H90" s="76" t="s">
        <v>129</v>
      </c>
      <c r="I90" s="81">
        <v>8</v>
      </c>
      <c r="J90" s="82">
        <v>9</v>
      </c>
      <c r="K90" s="65">
        <v>0</v>
      </c>
      <c r="L90" s="226"/>
      <c r="M90" s="77">
        <v>200</v>
      </c>
      <c r="N90" s="78">
        <f t="shared" si="0"/>
        <v>718</v>
      </c>
      <c r="O90" s="80"/>
    </row>
    <row r="91" spans="8:15" ht="12" customHeight="1" x14ac:dyDescent="0.3">
      <c r="H91" s="76" t="s">
        <v>130</v>
      </c>
      <c r="I91" s="81">
        <v>7</v>
      </c>
      <c r="J91" s="82">
        <v>8</v>
      </c>
      <c r="K91" s="65">
        <v>0</v>
      </c>
      <c r="L91" s="226"/>
      <c r="M91" s="77">
        <v>495</v>
      </c>
      <c r="N91" s="78">
        <f t="shared" si="0"/>
        <v>1308</v>
      </c>
      <c r="O91" s="80"/>
    </row>
    <row r="92" spans="8:15" ht="12" customHeight="1" x14ac:dyDescent="0.3">
      <c r="H92" s="76" t="s">
        <v>131</v>
      </c>
      <c r="I92" s="81">
        <v>11</v>
      </c>
      <c r="J92" s="82">
        <v>12</v>
      </c>
      <c r="K92" s="65">
        <v>0</v>
      </c>
      <c r="L92" s="226"/>
      <c r="M92" s="77">
        <v>84</v>
      </c>
      <c r="N92" s="78">
        <f t="shared" si="0"/>
        <v>486</v>
      </c>
      <c r="O92" s="80"/>
    </row>
    <row r="93" spans="8:15" ht="12" customHeight="1" x14ac:dyDescent="0.3">
      <c r="H93" s="76" t="s">
        <v>132</v>
      </c>
      <c r="I93" s="81">
        <v>7</v>
      </c>
      <c r="J93" s="82">
        <v>8</v>
      </c>
      <c r="K93" s="65">
        <v>0</v>
      </c>
      <c r="L93" s="226"/>
      <c r="M93" s="77">
        <v>56</v>
      </c>
      <c r="N93" s="78">
        <f t="shared" si="0"/>
        <v>430</v>
      </c>
      <c r="O93" s="80"/>
    </row>
    <row r="94" spans="8:15" ht="12" customHeight="1" x14ac:dyDescent="0.3">
      <c r="H94" s="76" t="s">
        <v>133</v>
      </c>
      <c r="I94" s="81">
        <v>7</v>
      </c>
      <c r="J94" s="82">
        <v>8</v>
      </c>
      <c r="K94" s="65">
        <v>0</v>
      </c>
      <c r="L94" s="226"/>
      <c r="M94" s="77">
        <v>72</v>
      </c>
      <c r="N94" s="78">
        <f t="shared" si="0"/>
        <v>462</v>
      </c>
      <c r="O94" s="80"/>
    </row>
    <row r="95" spans="8:15" ht="12" customHeight="1" x14ac:dyDescent="0.3">
      <c r="H95" s="76" t="s">
        <v>134</v>
      </c>
      <c r="I95" s="81">
        <v>8</v>
      </c>
      <c r="J95" s="82">
        <v>9</v>
      </c>
      <c r="K95" s="65">
        <v>402</v>
      </c>
      <c r="L95" s="226"/>
      <c r="M95" s="77">
        <v>0</v>
      </c>
      <c r="N95" s="78">
        <v>0</v>
      </c>
      <c r="O95" s="79">
        <f>117.06*2.22</f>
        <v>259.87320000000005</v>
      </c>
    </row>
    <row r="96" spans="8:15" ht="12" customHeight="1" x14ac:dyDescent="0.3">
      <c r="H96" s="76" t="s">
        <v>135</v>
      </c>
      <c r="I96" s="81">
        <v>7</v>
      </c>
      <c r="J96" s="82">
        <v>8</v>
      </c>
      <c r="K96" s="65">
        <v>0</v>
      </c>
      <c r="L96" s="226"/>
      <c r="M96" s="77">
        <v>135</v>
      </c>
      <c r="N96" s="78">
        <f t="shared" ref="N96:N102" si="1">2*(M96+M$106)</f>
        <v>588</v>
      </c>
      <c r="O96" s="80"/>
    </row>
    <row r="97" spans="8:26" ht="12" customHeight="1" x14ac:dyDescent="0.3">
      <c r="H97" s="76" t="s">
        <v>136</v>
      </c>
      <c r="I97" s="81">
        <v>8</v>
      </c>
      <c r="J97" s="82">
        <v>9</v>
      </c>
      <c r="K97" s="65">
        <v>0</v>
      </c>
      <c r="L97" s="226"/>
      <c r="M97" s="77">
        <v>135</v>
      </c>
      <c r="N97" s="78">
        <f t="shared" si="1"/>
        <v>588</v>
      </c>
      <c r="O97" s="80"/>
    </row>
    <row r="98" spans="8:26" ht="12" customHeight="1" x14ac:dyDescent="0.3">
      <c r="H98" s="76" t="s">
        <v>137</v>
      </c>
      <c r="I98" s="81">
        <v>8</v>
      </c>
      <c r="J98" s="82">
        <v>9</v>
      </c>
      <c r="K98" s="65">
        <v>0</v>
      </c>
      <c r="L98" s="226"/>
      <c r="M98" s="77">
        <v>135</v>
      </c>
      <c r="N98" s="78">
        <f t="shared" si="1"/>
        <v>588</v>
      </c>
      <c r="O98" s="80"/>
    </row>
    <row r="99" spans="8:26" ht="12" customHeight="1" x14ac:dyDescent="0.3">
      <c r="H99" s="76" t="s">
        <v>138</v>
      </c>
      <c r="I99" s="81">
        <v>7</v>
      </c>
      <c r="J99" s="82">
        <v>8</v>
      </c>
      <c r="K99" s="65">
        <v>0</v>
      </c>
      <c r="L99" s="226"/>
      <c r="M99" s="77">
        <v>72</v>
      </c>
      <c r="N99" s="78">
        <f t="shared" si="1"/>
        <v>462</v>
      </c>
      <c r="O99" s="80"/>
    </row>
    <row r="100" spans="8:26" ht="12" customHeight="1" x14ac:dyDescent="0.3">
      <c r="H100" s="76" t="s">
        <v>139</v>
      </c>
      <c r="I100" s="81">
        <v>10</v>
      </c>
      <c r="J100" s="82">
        <v>11</v>
      </c>
      <c r="K100" s="65">
        <v>505</v>
      </c>
      <c r="L100" s="226"/>
      <c r="M100" s="77">
        <v>0</v>
      </c>
      <c r="N100" s="78">
        <v>0</v>
      </c>
      <c r="O100" s="80"/>
    </row>
    <row r="101" spans="8:26" ht="12" customHeight="1" x14ac:dyDescent="0.3">
      <c r="H101" s="76" t="s">
        <v>140</v>
      </c>
      <c r="I101" s="81">
        <v>8</v>
      </c>
      <c r="J101" s="82">
        <v>9</v>
      </c>
      <c r="K101" s="65">
        <v>0</v>
      </c>
      <c r="L101" s="226"/>
      <c r="M101" s="77">
        <v>218</v>
      </c>
      <c r="N101" s="78">
        <f t="shared" si="1"/>
        <v>754</v>
      </c>
      <c r="O101" s="80"/>
    </row>
    <row r="102" spans="8:26" ht="12" customHeight="1" x14ac:dyDescent="0.3">
      <c r="H102" s="76" t="s">
        <v>141</v>
      </c>
      <c r="I102" s="81">
        <v>5</v>
      </c>
      <c r="J102" s="82">
        <v>6</v>
      </c>
      <c r="K102" s="65">
        <v>0</v>
      </c>
      <c r="L102" s="226"/>
      <c r="M102" s="77">
        <v>46</v>
      </c>
      <c r="N102" s="78">
        <f t="shared" si="1"/>
        <v>410</v>
      </c>
      <c r="O102" s="80"/>
    </row>
    <row r="103" spans="8:26" ht="12" customHeight="1" x14ac:dyDescent="0.3">
      <c r="H103" s="76" t="s">
        <v>142</v>
      </c>
      <c r="I103" s="81">
        <v>5</v>
      </c>
      <c r="J103" s="82">
        <v>6</v>
      </c>
      <c r="K103" s="65">
        <v>165</v>
      </c>
      <c r="L103" s="226"/>
      <c r="M103" s="77">
        <v>0</v>
      </c>
      <c r="N103" s="78">
        <v>0</v>
      </c>
      <c r="O103" s="80"/>
    </row>
    <row r="104" spans="8:26" ht="12" customHeight="1" thickBot="1" x14ac:dyDescent="0.35">
      <c r="H104" s="83" t="s">
        <v>143</v>
      </c>
      <c r="I104" s="84">
        <v>4</v>
      </c>
      <c r="J104" s="85">
        <v>5</v>
      </c>
      <c r="K104" s="86">
        <v>99</v>
      </c>
      <c r="L104" s="87"/>
      <c r="M104" s="88">
        <v>111</v>
      </c>
      <c r="N104" s="89">
        <v>260</v>
      </c>
      <c r="O104" s="90"/>
    </row>
    <row r="105" spans="8:26" ht="12" customHeight="1" thickBot="1" x14ac:dyDescent="0.35">
      <c r="H105" s="103"/>
      <c r="M105" s="104"/>
    </row>
    <row r="106" spans="8:26" ht="12" customHeight="1" thickBot="1" x14ac:dyDescent="0.35">
      <c r="H106" s="91" t="s">
        <v>21</v>
      </c>
      <c r="J106" s="214" t="s">
        <v>144</v>
      </c>
      <c r="K106" s="215"/>
      <c r="L106" s="216"/>
      <c r="M106" s="92">
        <v>159</v>
      </c>
    </row>
    <row r="107" spans="8:26" ht="12" customHeight="1" x14ac:dyDescent="0.3">
      <c r="H107" s="93" t="s">
        <v>22</v>
      </c>
      <c r="L107" s="55"/>
    </row>
    <row r="108" spans="8:26" ht="12" customHeight="1" thickBot="1" x14ac:dyDescent="0.35">
      <c r="H108" s="94" t="s">
        <v>145</v>
      </c>
    </row>
    <row r="109" spans="8:26" ht="12" customHeight="1" thickBot="1" x14ac:dyDescent="0.35"/>
    <row r="110" spans="8:26" ht="12" customHeight="1" thickBot="1" x14ac:dyDescent="0.35">
      <c r="H110" s="95" t="s">
        <v>146</v>
      </c>
      <c r="K110" s="96" t="s">
        <v>147</v>
      </c>
    </row>
    <row r="111" spans="8:26" ht="12" customHeight="1" x14ac:dyDescent="0.3">
      <c r="H111" s="97" t="s">
        <v>35</v>
      </c>
      <c r="K111" s="122">
        <v>45292</v>
      </c>
      <c r="L111" s="123" t="s">
        <v>148</v>
      </c>
      <c r="M111" s="123" t="s">
        <v>149</v>
      </c>
    </row>
    <row r="112" spans="8:26" ht="12" customHeight="1" x14ac:dyDescent="0.3">
      <c r="H112" s="97" t="s">
        <v>150</v>
      </c>
      <c r="K112" s="122">
        <v>45334</v>
      </c>
      <c r="L112" s="123" t="s">
        <v>148</v>
      </c>
      <c r="M112" s="123" t="s">
        <v>151</v>
      </c>
      <c r="Q112" s="20" t="s">
        <v>3</v>
      </c>
      <c r="X112" s="124"/>
      <c r="Y112" s="125"/>
      <c r="Z112" s="125"/>
    </row>
    <row r="113" spans="8:26" ht="12" customHeight="1" thickBot="1" x14ac:dyDescent="0.35">
      <c r="H113" s="98" t="s">
        <v>152</v>
      </c>
      <c r="K113" s="122">
        <v>45335</v>
      </c>
      <c r="L113" s="123" t="s">
        <v>153</v>
      </c>
      <c r="M113" s="123" t="s">
        <v>151</v>
      </c>
      <c r="Q113" s="20" t="s">
        <v>5</v>
      </c>
      <c r="X113" s="124"/>
      <c r="Y113" s="125"/>
      <c r="Z113" s="125"/>
    </row>
    <row r="114" spans="8:26" ht="12" customHeight="1" thickBot="1" x14ac:dyDescent="0.35">
      <c r="K114" s="122">
        <v>45380</v>
      </c>
      <c r="L114" s="123" t="s">
        <v>154</v>
      </c>
      <c r="M114" s="123" t="s">
        <v>155</v>
      </c>
      <c r="Q114" s="20" t="s">
        <v>8</v>
      </c>
      <c r="X114" s="124"/>
      <c r="Y114" s="125"/>
      <c r="Z114" s="125"/>
    </row>
    <row r="115" spans="8:26" ht="12" customHeight="1" thickBot="1" x14ac:dyDescent="0.35">
      <c r="H115" s="91" t="s">
        <v>156</v>
      </c>
      <c r="K115" s="122">
        <v>45403</v>
      </c>
      <c r="L115" s="123" t="s">
        <v>157</v>
      </c>
      <c r="M115" s="123" t="s">
        <v>158</v>
      </c>
      <c r="Q115" s="20" t="s">
        <v>10</v>
      </c>
      <c r="X115" s="124"/>
      <c r="Y115" s="125"/>
      <c r="Z115" s="125"/>
    </row>
    <row r="116" spans="8:26" ht="12" customHeight="1" x14ac:dyDescent="0.3">
      <c r="H116" s="99" t="s">
        <v>159</v>
      </c>
      <c r="K116" s="122">
        <v>45413</v>
      </c>
      <c r="L116" s="123" t="s">
        <v>160</v>
      </c>
      <c r="M116" s="123" t="s">
        <v>161</v>
      </c>
      <c r="Q116" s="20" t="s">
        <v>11</v>
      </c>
      <c r="X116" s="124"/>
      <c r="Y116" s="125"/>
      <c r="Z116" s="125"/>
    </row>
    <row r="117" spans="8:26" ht="12" customHeight="1" x14ac:dyDescent="0.3">
      <c r="H117" s="93" t="s">
        <v>162</v>
      </c>
      <c r="K117" s="122">
        <v>45442</v>
      </c>
      <c r="L117" s="123" t="s">
        <v>163</v>
      </c>
      <c r="M117" s="123" t="s">
        <v>164</v>
      </c>
      <c r="Q117" s="20" t="s">
        <v>14</v>
      </c>
      <c r="X117" s="124"/>
      <c r="Y117" s="125"/>
      <c r="Z117" s="125"/>
    </row>
    <row r="118" spans="8:26" ht="12" customHeight="1" x14ac:dyDescent="0.3">
      <c r="H118" s="93" t="s">
        <v>165</v>
      </c>
      <c r="K118" s="122">
        <v>45542</v>
      </c>
      <c r="L118" s="123" t="s">
        <v>166</v>
      </c>
      <c r="M118" s="123" t="s">
        <v>167</v>
      </c>
      <c r="Q118" s="20" t="s">
        <v>17</v>
      </c>
      <c r="X118" s="124"/>
      <c r="Y118" s="125"/>
      <c r="Z118" s="125"/>
    </row>
    <row r="119" spans="8:26" ht="12" customHeight="1" thickBot="1" x14ac:dyDescent="0.35">
      <c r="H119" s="94" t="s">
        <v>41</v>
      </c>
      <c r="K119" s="122">
        <v>45577</v>
      </c>
      <c r="L119" s="123" t="s">
        <v>166</v>
      </c>
      <c r="M119" s="123" t="s">
        <v>168</v>
      </c>
      <c r="X119" s="124"/>
      <c r="Y119" s="125"/>
      <c r="Z119" s="125"/>
    </row>
    <row r="120" spans="8:26" ht="12" customHeight="1" thickBot="1" x14ac:dyDescent="0.35">
      <c r="H120" s="100"/>
      <c r="K120" s="122">
        <v>45598</v>
      </c>
      <c r="L120" s="123" t="s">
        <v>166</v>
      </c>
      <c r="M120" s="123" t="s">
        <v>169</v>
      </c>
      <c r="X120" s="124"/>
      <c r="Y120" s="125"/>
      <c r="Z120" s="125"/>
    </row>
    <row r="121" spans="8:26" ht="12" customHeight="1" thickBot="1" x14ac:dyDescent="0.35">
      <c r="H121" s="91" t="s">
        <v>170</v>
      </c>
      <c r="K121" s="122">
        <v>45611</v>
      </c>
      <c r="L121" s="123" t="s">
        <v>154</v>
      </c>
      <c r="M121" s="123" t="s">
        <v>171</v>
      </c>
      <c r="X121" s="124"/>
      <c r="Y121" s="125"/>
      <c r="Z121" s="125"/>
    </row>
    <row r="122" spans="8:26" ht="12" customHeight="1" x14ac:dyDescent="0.3">
      <c r="H122" s="93" t="s">
        <v>172</v>
      </c>
      <c r="K122" s="122">
        <v>45651</v>
      </c>
      <c r="L122" s="123" t="s">
        <v>160</v>
      </c>
      <c r="M122" s="123" t="s">
        <v>173</v>
      </c>
      <c r="X122" s="124"/>
      <c r="Y122" s="125"/>
      <c r="Z122" s="125"/>
    </row>
    <row r="123" spans="8:26" ht="12" customHeight="1" thickBot="1" x14ac:dyDescent="0.35">
      <c r="H123" s="94" t="s">
        <v>46</v>
      </c>
      <c r="K123" s="122">
        <v>45658</v>
      </c>
      <c r="L123" s="123" t="s">
        <v>160</v>
      </c>
      <c r="M123" s="123" t="s">
        <v>149</v>
      </c>
      <c r="X123" s="124"/>
      <c r="Y123" s="125"/>
      <c r="Z123" s="125"/>
    </row>
    <row r="124" spans="8:26" ht="12" customHeight="1" thickBot="1" x14ac:dyDescent="0.35">
      <c r="K124" s="122">
        <v>45719</v>
      </c>
      <c r="L124" s="123" t="s">
        <v>148</v>
      </c>
      <c r="M124" s="123" t="s">
        <v>151</v>
      </c>
      <c r="X124" s="124"/>
      <c r="Y124" s="125"/>
      <c r="Z124" s="125"/>
    </row>
    <row r="125" spans="8:26" ht="12" customHeight="1" thickBot="1" x14ac:dyDescent="0.35">
      <c r="H125" s="95" t="s">
        <v>174</v>
      </c>
      <c r="K125" s="122">
        <v>45720</v>
      </c>
      <c r="L125" s="123" t="s">
        <v>153</v>
      </c>
      <c r="M125" s="123" t="s">
        <v>151</v>
      </c>
      <c r="X125" s="124"/>
      <c r="Y125" s="125"/>
      <c r="Z125" s="125"/>
    </row>
    <row r="126" spans="8:26" ht="12" customHeight="1" x14ac:dyDescent="0.3">
      <c r="H126" s="101" t="s">
        <v>53</v>
      </c>
      <c r="K126" s="122">
        <v>45765</v>
      </c>
      <c r="L126" s="123" t="s">
        <v>154</v>
      </c>
      <c r="M126" s="123" t="s">
        <v>155</v>
      </c>
      <c r="X126" s="124"/>
      <c r="Y126" s="125"/>
      <c r="Z126" s="125"/>
    </row>
    <row r="127" spans="8:26" ht="12" customHeight="1" thickBot="1" x14ac:dyDescent="0.35">
      <c r="H127" s="98" t="s">
        <v>175</v>
      </c>
      <c r="K127" s="122">
        <v>45768</v>
      </c>
      <c r="L127" s="123" t="s">
        <v>148</v>
      </c>
      <c r="M127" s="123" t="s">
        <v>158</v>
      </c>
      <c r="X127" s="124"/>
      <c r="Y127" s="125"/>
      <c r="Z127" s="125"/>
    </row>
    <row r="128" spans="8:26" ht="12" customHeight="1" thickBot="1" x14ac:dyDescent="0.35">
      <c r="K128" s="122">
        <v>45778</v>
      </c>
      <c r="L128" s="123" t="s">
        <v>163</v>
      </c>
      <c r="M128" s="123" t="s">
        <v>161</v>
      </c>
      <c r="X128" s="124"/>
      <c r="Y128" s="125"/>
      <c r="Z128" s="125"/>
    </row>
    <row r="129" spans="8:26" ht="12" customHeight="1" thickBot="1" x14ac:dyDescent="0.35">
      <c r="H129" s="95" t="s">
        <v>176</v>
      </c>
      <c r="K129" s="122">
        <v>45827</v>
      </c>
      <c r="L129" s="123" t="s">
        <v>163</v>
      </c>
      <c r="M129" s="123" t="s">
        <v>164</v>
      </c>
      <c r="X129" s="124"/>
      <c r="Y129" s="125"/>
      <c r="Z129" s="125"/>
    </row>
    <row r="130" spans="8:26" ht="12" customHeight="1" x14ac:dyDescent="0.3">
      <c r="H130" s="97" t="s">
        <v>56</v>
      </c>
      <c r="K130" s="122">
        <v>45907</v>
      </c>
      <c r="L130" s="123" t="s">
        <v>157</v>
      </c>
      <c r="M130" s="123" t="s">
        <v>167</v>
      </c>
      <c r="X130" s="124"/>
      <c r="Y130" s="125"/>
      <c r="Z130" s="125"/>
    </row>
    <row r="131" spans="8:26" ht="12" customHeight="1" thickBot="1" x14ac:dyDescent="0.35">
      <c r="H131" s="98" t="s">
        <v>177</v>
      </c>
      <c r="K131" s="122">
        <v>45942</v>
      </c>
      <c r="L131" s="123" t="s">
        <v>157</v>
      </c>
      <c r="M131" s="123" t="s">
        <v>178</v>
      </c>
      <c r="X131" s="124"/>
      <c r="Y131" s="125"/>
      <c r="Z131" s="125"/>
    </row>
    <row r="132" spans="8:26" ht="12" customHeight="1" x14ac:dyDescent="0.3">
      <c r="K132" s="122">
        <v>45963</v>
      </c>
      <c r="L132" s="123" t="s">
        <v>157</v>
      </c>
      <c r="M132" s="123" t="s">
        <v>169</v>
      </c>
      <c r="X132" s="124"/>
      <c r="Y132" s="125"/>
      <c r="Z132" s="125"/>
    </row>
    <row r="133" spans="8:26" ht="12" customHeight="1" x14ac:dyDescent="0.3">
      <c r="K133" s="122">
        <v>45976</v>
      </c>
      <c r="L133" s="123" t="s">
        <v>166</v>
      </c>
      <c r="M133" s="123" t="s">
        <v>171</v>
      </c>
      <c r="X133" s="124"/>
      <c r="Y133" s="125"/>
      <c r="Z133" s="125"/>
    </row>
    <row r="134" spans="8:26" ht="12" customHeight="1" x14ac:dyDescent="0.3">
      <c r="H134" s="54" t="s">
        <v>179</v>
      </c>
      <c r="K134" s="122">
        <v>46016</v>
      </c>
      <c r="L134" s="123" t="s">
        <v>163</v>
      </c>
      <c r="M134" s="123" t="s">
        <v>173</v>
      </c>
      <c r="X134" s="124"/>
      <c r="Y134" s="125"/>
      <c r="Z134" s="125"/>
    </row>
    <row r="135" spans="8:26" ht="12" customHeight="1" x14ac:dyDescent="0.3">
      <c r="H135" s="54" t="s">
        <v>180</v>
      </c>
      <c r="K135" s="122">
        <v>46023</v>
      </c>
      <c r="L135" s="123" t="s">
        <v>163</v>
      </c>
      <c r="M135" s="123" t="s">
        <v>149</v>
      </c>
      <c r="X135" s="124"/>
      <c r="Y135" s="125"/>
      <c r="Z135" s="125"/>
    </row>
    <row r="136" spans="8:26" ht="12" customHeight="1" x14ac:dyDescent="0.3">
      <c r="H136" s="54" t="s">
        <v>181</v>
      </c>
      <c r="K136" s="122">
        <v>46069</v>
      </c>
      <c r="L136" s="123" t="s">
        <v>148</v>
      </c>
      <c r="M136" s="123" t="s">
        <v>151</v>
      </c>
      <c r="X136" s="124"/>
      <c r="Y136" s="125"/>
      <c r="Z136" s="125"/>
    </row>
    <row r="137" spans="8:26" ht="12" customHeight="1" x14ac:dyDescent="0.3">
      <c r="H137" s="54" t="s">
        <v>182</v>
      </c>
      <c r="K137" s="122">
        <v>46070</v>
      </c>
      <c r="L137" s="123" t="s">
        <v>153</v>
      </c>
      <c r="M137" s="123" t="s">
        <v>151</v>
      </c>
      <c r="X137" s="124"/>
      <c r="Y137" s="125"/>
      <c r="Z137" s="125"/>
    </row>
    <row r="138" spans="8:26" ht="12" customHeight="1" thickBot="1" x14ac:dyDescent="0.35">
      <c r="K138" s="122">
        <v>46115</v>
      </c>
      <c r="L138" s="123" t="s">
        <v>154</v>
      </c>
      <c r="M138" s="123" t="s">
        <v>155</v>
      </c>
      <c r="X138" s="124"/>
      <c r="Y138" s="125"/>
      <c r="Z138" s="125"/>
    </row>
    <row r="139" spans="8:26" ht="12" customHeight="1" thickBot="1" x14ac:dyDescent="0.35">
      <c r="H139" s="101" t="s">
        <v>58</v>
      </c>
      <c r="K139" s="122">
        <v>46133</v>
      </c>
      <c r="L139" s="123" t="s">
        <v>153</v>
      </c>
      <c r="M139" s="123" t="s">
        <v>158</v>
      </c>
      <c r="X139" s="124"/>
      <c r="Y139" s="125"/>
      <c r="Z139" s="125"/>
    </row>
    <row r="140" spans="8:26" ht="12" customHeight="1" x14ac:dyDescent="0.3">
      <c r="H140" s="101" t="s">
        <v>183</v>
      </c>
      <c r="K140" s="122">
        <v>46143</v>
      </c>
      <c r="L140" s="123" t="s">
        <v>154</v>
      </c>
      <c r="M140" s="123" t="s">
        <v>161</v>
      </c>
      <c r="X140" s="124"/>
      <c r="Y140" s="125"/>
      <c r="Z140" s="125"/>
    </row>
    <row r="141" spans="8:26" ht="12" customHeight="1" x14ac:dyDescent="0.3">
      <c r="H141" s="97" t="s">
        <v>184</v>
      </c>
      <c r="K141" s="122">
        <v>46177</v>
      </c>
      <c r="L141" s="123" t="s">
        <v>163</v>
      </c>
      <c r="M141" s="123" t="s">
        <v>164</v>
      </c>
      <c r="X141" s="124"/>
      <c r="Y141" s="125"/>
      <c r="Z141" s="125"/>
    </row>
    <row r="142" spans="8:26" ht="12" customHeight="1" x14ac:dyDescent="0.3">
      <c r="H142" s="97" t="s">
        <v>59</v>
      </c>
      <c r="K142" s="122">
        <v>46272</v>
      </c>
      <c r="L142" s="123" t="s">
        <v>148</v>
      </c>
      <c r="M142" s="123" t="s">
        <v>167</v>
      </c>
      <c r="X142" s="124"/>
      <c r="Y142" s="125"/>
      <c r="Z142" s="125"/>
    </row>
    <row r="143" spans="8:26" ht="12" customHeight="1" thickBot="1" x14ac:dyDescent="0.35">
      <c r="H143" s="98" t="s">
        <v>183</v>
      </c>
      <c r="K143" s="122">
        <v>46307</v>
      </c>
      <c r="L143" s="123" t="s">
        <v>148</v>
      </c>
      <c r="M143" s="123" t="s">
        <v>178</v>
      </c>
      <c r="X143" s="124"/>
      <c r="Y143" s="125"/>
      <c r="Z143" s="125"/>
    </row>
    <row r="144" spans="8:26" ht="12" customHeight="1" x14ac:dyDescent="0.3">
      <c r="K144" s="122">
        <v>46328</v>
      </c>
      <c r="L144" s="123" t="s">
        <v>148</v>
      </c>
      <c r="M144" s="123" t="s">
        <v>169</v>
      </c>
      <c r="X144" s="124"/>
      <c r="Y144" s="125"/>
      <c r="Z144" s="125"/>
    </row>
    <row r="145" spans="11:26" ht="12" customHeight="1" x14ac:dyDescent="0.3">
      <c r="K145" s="122">
        <v>46341</v>
      </c>
      <c r="L145" s="123" t="s">
        <v>157</v>
      </c>
      <c r="M145" s="123" t="s">
        <v>171</v>
      </c>
      <c r="X145" s="124"/>
      <c r="Y145" s="125"/>
      <c r="Z145" s="125"/>
    </row>
    <row r="146" spans="11:26" ht="12" customHeight="1" x14ac:dyDescent="0.3">
      <c r="K146" s="122">
        <v>46381</v>
      </c>
      <c r="L146" s="123" t="s">
        <v>154</v>
      </c>
      <c r="M146" s="123" t="s">
        <v>173</v>
      </c>
      <c r="X146" s="124"/>
      <c r="Y146" s="125"/>
      <c r="Z146" s="125"/>
    </row>
    <row r="147" spans="11:26" ht="12" customHeight="1" x14ac:dyDescent="0.3">
      <c r="K147" s="122">
        <v>46388</v>
      </c>
      <c r="L147" s="123" t="s">
        <v>154</v>
      </c>
      <c r="M147" s="123" t="s">
        <v>149</v>
      </c>
      <c r="X147" s="124"/>
      <c r="Y147" s="125"/>
      <c r="Z147" s="125"/>
    </row>
    <row r="148" spans="11:26" ht="12" customHeight="1" x14ac:dyDescent="0.3">
      <c r="K148" s="122">
        <v>46426</v>
      </c>
      <c r="L148" s="123" t="s">
        <v>148</v>
      </c>
      <c r="M148" s="123" t="s">
        <v>151</v>
      </c>
    </row>
    <row r="149" spans="11:26" ht="12" customHeight="1" x14ac:dyDescent="0.3">
      <c r="K149" s="122">
        <v>46427</v>
      </c>
      <c r="L149" s="123" t="s">
        <v>153</v>
      </c>
      <c r="M149" s="123" t="s">
        <v>151</v>
      </c>
    </row>
    <row r="150" spans="11:26" ht="12" customHeight="1" x14ac:dyDescent="0.3">
      <c r="K150" s="122">
        <v>46472</v>
      </c>
      <c r="L150" s="123" t="s">
        <v>154</v>
      </c>
      <c r="M150" s="123" t="s">
        <v>155</v>
      </c>
    </row>
    <row r="151" spans="11:26" ht="12" customHeight="1" x14ac:dyDescent="0.3">
      <c r="K151" s="122">
        <v>46498</v>
      </c>
      <c r="L151" s="123" t="s">
        <v>160</v>
      </c>
      <c r="M151" s="123" t="s">
        <v>158</v>
      </c>
    </row>
    <row r="152" spans="11:26" ht="12" customHeight="1" x14ac:dyDescent="0.3">
      <c r="K152" s="122">
        <v>46508</v>
      </c>
      <c r="L152" s="123" t="s">
        <v>166</v>
      </c>
      <c r="M152" s="123" t="s">
        <v>161</v>
      </c>
    </row>
    <row r="153" spans="11:26" ht="12" customHeight="1" x14ac:dyDescent="0.3">
      <c r="K153" s="122">
        <v>46534</v>
      </c>
      <c r="L153" s="123" t="s">
        <v>163</v>
      </c>
      <c r="M153" s="123" t="s">
        <v>164</v>
      </c>
    </row>
    <row r="154" spans="11:26" ht="12" customHeight="1" x14ac:dyDescent="0.3">
      <c r="K154" s="122">
        <v>46637</v>
      </c>
      <c r="L154" s="123" t="s">
        <v>153</v>
      </c>
      <c r="M154" s="123" t="s">
        <v>167</v>
      </c>
    </row>
    <row r="155" spans="11:26" ht="12" customHeight="1" x14ac:dyDescent="0.3">
      <c r="K155" s="122">
        <v>46672</v>
      </c>
      <c r="L155" s="123" t="s">
        <v>153</v>
      </c>
      <c r="M155" s="123" t="s">
        <v>178</v>
      </c>
    </row>
    <row r="156" spans="11:26" ht="12" customHeight="1" x14ac:dyDescent="0.3">
      <c r="K156" s="122">
        <v>46693</v>
      </c>
      <c r="L156" s="123" t="s">
        <v>153</v>
      </c>
      <c r="M156" s="123" t="s">
        <v>169</v>
      </c>
    </row>
    <row r="157" spans="11:26" ht="12" customHeight="1" x14ac:dyDescent="0.3">
      <c r="K157" s="122">
        <v>46706</v>
      </c>
      <c r="L157" s="123" t="s">
        <v>148</v>
      </c>
      <c r="M157" s="123" t="s">
        <v>171</v>
      </c>
    </row>
    <row r="158" spans="11:26" ht="12" customHeight="1" x14ac:dyDescent="0.3">
      <c r="K158" s="122">
        <v>46746</v>
      </c>
      <c r="L158" s="123" t="s">
        <v>166</v>
      </c>
      <c r="M158" s="123" t="s">
        <v>173</v>
      </c>
    </row>
    <row r="159" spans="11:26" ht="12" customHeight="1" x14ac:dyDescent="0.3">
      <c r="K159" s="122">
        <v>46753</v>
      </c>
      <c r="L159" s="123" t="s">
        <v>166</v>
      </c>
      <c r="M159" s="123" t="s">
        <v>149</v>
      </c>
    </row>
    <row r="160" spans="11:26" ht="12" customHeight="1" x14ac:dyDescent="0.3">
      <c r="K160" s="122">
        <v>46811</v>
      </c>
      <c r="L160" s="123" t="s">
        <v>148</v>
      </c>
      <c r="M160" s="123" t="s">
        <v>151</v>
      </c>
    </row>
    <row r="161" spans="11:13" ht="12" customHeight="1" x14ac:dyDescent="0.3">
      <c r="K161" s="122">
        <v>46812</v>
      </c>
      <c r="L161" s="123" t="s">
        <v>153</v>
      </c>
      <c r="M161" s="123" t="s">
        <v>151</v>
      </c>
    </row>
    <row r="162" spans="11:13" ht="12" customHeight="1" x14ac:dyDescent="0.3">
      <c r="K162" s="122">
        <v>46857</v>
      </c>
      <c r="L162" s="123" t="s">
        <v>154</v>
      </c>
      <c r="M162" s="123" t="s">
        <v>155</v>
      </c>
    </row>
    <row r="163" spans="11:13" ht="12" customHeight="1" x14ac:dyDescent="0.3">
      <c r="K163" s="122">
        <v>46864</v>
      </c>
      <c r="L163" s="123" t="s">
        <v>154</v>
      </c>
      <c r="M163" s="123" t="s">
        <v>158</v>
      </c>
    </row>
    <row r="164" spans="11:13" ht="12" customHeight="1" x14ac:dyDescent="0.3">
      <c r="K164" s="122">
        <v>46874</v>
      </c>
      <c r="L164" s="123" t="s">
        <v>148</v>
      </c>
      <c r="M164" s="123" t="s">
        <v>161</v>
      </c>
    </row>
    <row r="165" spans="11:13" ht="12" customHeight="1" x14ac:dyDescent="0.3">
      <c r="K165" s="122">
        <v>46919</v>
      </c>
      <c r="L165" s="123" t="s">
        <v>163</v>
      </c>
      <c r="M165" s="123" t="s">
        <v>164</v>
      </c>
    </row>
    <row r="166" spans="11:13" ht="12" customHeight="1" x14ac:dyDescent="0.3">
      <c r="K166" s="122">
        <v>47003</v>
      </c>
      <c r="L166" s="123" t="s">
        <v>163</v>
      </c>
      <c r="M166" s="123" t="s">
        <v>167</v>
      </c>
    </row>
    <row r="167" spans="11:13" ht="12" customHeight="1" x14ac:dyDescent="0.3">
      <c r="K167" s="122">
        <v>47038</v>
      </c>
      <c r="L167" s="123" t="s">
        <v>163</v>
      </c>
      <c r="M167" s="123" t="s">
        <v>178</v>
      </c>
    </row>
    <row r="168" spans="11:13" ht="12" customHeight="1" x14ac:dyDescent="0.3">
      <c r="K168" s="122">
        <v>47059</v>
      </c>
      <c r="L168" s="123" t="s">
        <v>163</v>
      </c>
      <c r="M168" s="123" t="s">
        <v>169</v>
      </c>
    </row>
    <row r="169" spans="11:13" ht="12" customHeight="1" x14ac:dyDescent="0.3">
      <c r="K169" s="122">
        <v>47072</v>
      </c>
      <c r="L169" s="123" t="s">
        <v>160</v>
      </c>
      <c r="M169" s="123" t="s">
        <v>171</v>
      </c>
    </row>
    <row r="170" spans="11:13" ht="12" customHeight="1" x14ac:dyDescent="0.3">
      <c r="K170" s="122">
        <v>47112</v>
      </c>
      <c r="L170" s="123" t="s">
        <v>148</v>
      </c>
      <c r="M170" s="123" t="s">
        <v>173</v>
      </c>
    </row>
    <row r="171" spans="11:13" ht="12" customHeight="1" x14ac:dyDescent="0.3">
      <c r="K171" s="122">
        <v>47119</v>
      </c>
      <c r="L171" s="123" t="s">
        <v>148</v>
      </c>
      <c r="M171" s="123" t="s">
        <v>149</v>
      </c>
    </row>
    <row r="172" spans="11:13" ht="12" customHeight="1" x14ac:dyDescent="0.3">
      <c r="K172" s="122">
        <v>47161</v>
      </c>
      <c r="L172" s="123" t="s">
        <v>148</v>
      </c>
      <c r="M172" s="123" t="s">
        <v>151</v>
      </c>
    </row>
    <row r="173" spans="11:13" ht="12" customHeight="1" x14ac:dyDescent="0.3">
      <c r="K173" s="122">
        <v>47162</v>
      </c>
      <c r="L173" s="123" t="s">
        <v>153</v>
      </c>
      <c r="M173" s="123" t="s">
        <v>151</v>
      </c>
    </row>
    <row r="174" spans="11:13" ht="12" customHeight="1" x14ac:dyDescent="0.3">
      <c r="K174" s="122">
        <v>47207</v>
      </c>
      <c r="L174" s="123" t="s">
        <v>154</v>
      </c>
      <c r="M174" s="123" t="s">
        <v>155</v>
      </c>
    </row>
    <row r="175" spans="11:13" ht="12" customHeight="1" x14ac:dyDescent="0.3">
      <c r="K175" s="122">
        <v>47229</v>
      </c>
      <c r="L175" s="123" t="s">
        <v>166</v>
      </c>
      <c r="M175" s="123" t="s">
        <v>158</v>
      </c>
    </row>
    <row r="176" spans="11:13" ht="12" customHeight="1" x14ac:dyDescent="0.3">
      <c r="K176" s="122">
        <v>47239</v>
      </c>
      <c r="L176" s="123" t="s">
        <v>153</v>
      </c>
      <c r="M176" s="123" t="s">
        <v>161</v>
      </c>
    </row>
    <row r="177" spans="11:13" ht="12" customHeight="1" x14ac:dyDescent="0.3">
      <c r="K177" s="122">
        <v>47269</v>
      </c>
      <c r="L177" s="123" t="s">
        <v>163</v>
      </c>
      <c r="M177" s="123" t="s">
        <v>164</v>
      </c>
    </row>
    <row r="178" spans="11:13" ht="12" customHeight="1" x14ac:dyDescent="0.3">
      <c r="K178" s="122">
        <v>47368</v>
      </c>
      <c r="L178" s="123" t="s">
        <v>154</v>
      </c>
      <c r="M178" s="123" t="s">
        <v>167</v>
      </c>
    </row>
    <row r="179" spans="11:13" ht="12" customHeight="1" x14ac:dyDescent="0.3">
      <c r="K179" s="122">
        <v>47403</v>
      </c>
      <c r="L179" s="123" t="s">
        <v>154</v>
      </c>
      <c r="M179" s="123" t="s">
        <v>178</v>
      </c>
    </row>
    <row r="180" spans="11:13" ht="12" customHeight="1" x14ac:dyDescent="0.3">
      <c r="K180" s="122">
        <v>47424</v>
      </c>
      <c r="L180" s="123" t="s">
        <v>154</v>
      </c>
      <c r="M180" s="123" t="s">
        <v>169</v>
      </c>
    </row>
    <row r="181" spans="11:13" ht="12" customHeight="1" x14ac:dyDescent="0.3">
      <c r="K181" s="122">
        <v>47437</v>
      </c>
      <c r="L181" s="123" t="s">
        <v>163</v>
      </c>
      <c r="M181" s="123" t="s">
        <v>171</v>
      </c>
    </row>
    <row r="182" spans="11:13" ht="12" customHeight="1" x14ac:dyDescent="0.3">
      <c r="K182" s="122">
        <v>47477</v>
      </c>
      <c r="L182" s="123" t="s">
        <v>153</v>
      </c>
      <c r="M182" s="123" t="s">
        <v>173</v>
      </c>
    </row>
    <row r="183" spans="11:13" ht="12" customHeight="1" x14ac:dyDescent="0.3">
      <c r="K183" s="122">
        <v>47484</v>
      </c>
      <c r="L183" s="123" t="s">
        <v>153</v>
      </c>
      <c r="M183" s="123" t="s">
        <v>149</v>
      </c>
    </row>
    <row r="184" spans="11:13" ht="12" customHeight="1" x14ac:dyDescent="0.3">
      <c r="K184" s="122">
        <v>47546</v>
      </c>
      <c r="L184" s="123" t="s">
        <v>148</v>
      </c>
      <c r="M184" s="123" t="s">
        <v>151</v>
      </c>
    </row>
    <row r="185" spans="11:13" ht="12" customHeight="1" x14ac:dyDescent="0.3">
      <c r="K185" s="122">
        <v>47547</v>
      </c>
      <c r="L185" s="123" t="s">
        <v>153</v>
      </c>
      <c r="M185" s="123" t="s">
        <v>151</v>
      </c>
    </row>
    <row r="186" spans="11:13" ht="12" customHeight="1" x14ac:dyDescent="0.3">
      <c r="K186" s="122">
        <v>47592</v>
      </c>
      <c r="L186" s="123" t="s">
        <v>154</v>
      </c>
      <c r="M186" s="123" t="s">
        <v>155</v>
      </c>
    </row>
    <row r="187" spans="11:13" ht="12" customHeight="1" x14ac:dyDescent="0.3">
      <c r="K187" s="122">
        <v>47594</v>
      </c>
      <c r="L187" s="123" t="s">
        <v>157</v>
      </c>
      <c r="M187" s="123" t="s">
        <v>158</v>
      </c>
    </row>
    <row r="188" spans="11:13" ht="12" customHeight="1" x14ac:dyDescent="0.3">
      <c r="K188" s="122">
        <v>47604</v>
      </c>
      <c r="L188" s="123" t="s">
        <v>160</v>
      </c>
      <c r="M188" s="123" t="s">
        <v>161</v>
      </c>
    </row>
    <row r="189" spans="11:13" ht="12" customHeight="1" x14ac:dyDescent="0.3">
      <c r="K189" s="122">
        <v>47654</v>
      </c>
      <c r="L189" s="123" t="s">
        <v>163</v>
      </c>
      <c r="M189" s="123" t="s">
        <v>164</v>
      </c>
    </row>
    <row r="190" spans="11:13" ht="12" customHeight="1" x14ac:dyDescent="0.3">
      <c r="K190" s="122">
        <v>47733</v>
      </c>
      <c r="L190" s="123" t="s">
        <v>166</v>
      </c>
      <c r="M190" s="123" t="s">
        <v>167</v>
      </c>
    </row>
    <row r="191" spans="11:13" ht="12" customHeight="1" x14ac:dyDescent="0.3">
      <c r="K191" s="122">
        <v>47768</v>
      </c>
      <c r="L191" s="123" t="s">
        <v>166</v>
      </c>
      <c r="M191" s="123" t="s">
        <v>178</v>
      </c>
    </row>
    <row r="192" spans="11:13" ht="12" customHeight="1" x14ac:dyDescent="0.3">
      <c r="K192" s="122">
        <v>47789</v>
      </c>
      <c r="L192" s="123" t="s">
        <v>166</v>
      </c>
      <c r="M192" s="123" t="s">
        <v>169</v>
      </c>
    </row>
    <row r="193" spans="11:13" ht="12" customHeight="1" x14ac:dyDescent="0.3">
      <c r="K193" s="122">
        <v>47802</v>
      </c>
      <c r="L193" s="123" t="s">
        <v>154</v>
      </c>
      <c r="M193" s="123" t="s">
        <v>171</v>
      </c>
    </row>
    <row r="194" spans="11:13" ht="12" customHeight="1" x14ac:dyDescent="0.3">
      <c r="K194" s="122">
        <v>47842</v>
      </c>
      <c r="L194" s="123" t="s">
        <v>160</v>
      </c>
      <c r="M194" s="123" t="s">
        <v>173</v>
      </c>
    </row>
    <row r="231" spans="11:11" ht="12" customHeight="1" x14ac:dyDescent="0.3">
      <c r="K231" s="102"/>
    </row>
    <row r="232" spans="11:11" ht="12" customHeight="1" x14ac:dyDescent="0.3">
      <c r="K232" s="102"/>
    </row>
    <row r="233" spans="11:11" ht="12" customHeight="1" x14ac:dyDescent="0.3">
      <c r="K233" s="102"/>
    </row>
    <row r="234" spans="11:11" ht="12" customHeight="1" x14ac:dyDescent="0.3">
      <c r="K234" s="102"/>
    </row>
    <row r="235" spans="11:11" ht="12" customHeight="1" x14ac:dyDescent="0.3">
      <c r="K235" s="102"/>
    </row>
    <row r="236" spans="11:11" ht="12" customHeight="1" x14ac:dyDescent="0.3">
      <c r="K236" s="102"/>
    </row>
    <row r="237" spans="11:11" ht="12" customHeight="1" x14ac:dyDescent="0.3">
      <c r="K237" s="102"/>
    </row>
    <row r="238" spans="11:11" ht="12" customHeight="1" x14ac:dyDescent="0.3">
      <c r="K238" s="102"/>
    </row>
    <row r="239" spans="11:11" ht="12" customHeight="1" x14ac:dyDescent="0.3">
      <c r="K239" s="102"/>
    </row>
    <row r="240" spans="11:11" ht="12" customHeight="1" x14ac:dyDescent="0.3">
      <c r="K240" s="102"/>
    </row>
    <row r="241" spans="11:11" ht="12" customHeight="1" x14ac:dyDescent="0.3">
      <c r="K241" s="102"/>
    </row>
    <row r="242" spans="11:11" ht="12" customHeight="1" x14ac:dyDescent="0.3">
      <c r="K242" s="102"/>
    </row>
    <row r="243" spans="11:11" ht="12" customHeight="1" x14ac:dyDescent="0.3">
      <c r="K243" s="102"/>
    </row>
    <row r="244" spans="11:11" ht="12" customHeight="1" x14ac:dyDescent="0.3">
      <c r="K244" s="102"/>
    </row>
    <row r="245" spans="11:11" ht="12" customHeight="1" x14ac:dyDescent="0.3">
      <c r="K245" s="102"/>
    </row>
    <row r="246" spans="11:11" ht="12" customHeight="1" x14ac:dyDescent="0.3">
      <c r="K246" s="102"/>
    </row>
    <row r="247" spans="11:11" ht="12" customHeight="1" x14ac:dyDescent="0.3">
      <c r="K247" s="102"/>
    </row>
    <row r="248" spans="11:11" ht="12" customHeight="1" x14ac:dyDescent="0.3">
      <c r="K248" s="102"/>
    </row>
    <row r="249" spans="11:11" ht="12" customHeight="1" x14ac:dyDescent="0.3">
      <c r="K249" s="102"/>
    </row>
    <row r="250" spans="11:11" ht="12" customHeight="1" x14ac:dyDescent="0.3">
      <c r="K250" s="102"/>
    </row>
    <row r="251" spans="11:11" ht="12" customHeight="1" x14ac:dyDescent="0.3">
      <c r="K251" s="102"/>
    </row>
    <row r="252" spans="11:11" ht="12" customHeight="1" x14ac:dyDescent="0.3">
      <c r="K252" s="102"/>
    </row>
    <row r="253" spans="11:11" ht="12" customHeight="1" x14ac:dyDescent="0.3">
      <c r="K253" s="102"/>
    </row>
    <row r="254" spans="11:11" ht="12" customHeight="1" x14ac:dyDescent="0.3">
      <c r="K254" s="102"/>
    </row>
    <row r="255" spans="11:11" ht="12" customHeight="1" x14ac:dyDescent="0.3">
      <c r="K255" s="102"/>
    </row>
    <row r="256" spans="11:11" ht="12" customHeight="1" x14ac:dyDescent="0.3">
      <c r="K256" s="102"/>
    </row>
    <row r="257" spans="11:11" ht="12" customHeight="1" x14ac:dyDescent="0.3">
      <c r="K257" s="102"/>
    </row>
    <row r="258" spans="11:11" ht="12" customHeight="1" x14ac:dyDescent="0.3">
      <c r="K258" s="102"/>
    </row>
    <row r="259" spans="11:11" ht="12" customHeight="1" x14ac:dyDescent="0.3">
      <c r="K259" s="102"/>
    </row>
    <row r="260" spans="11:11" ht="12" customHeight="1" x14ac:dyDescent="0.3">
      <c r="K260" s="102"/>
    </row>
    <row r="261" spans="11:11" ht="12" customHeight="1" x14ac:dyDescent="0.3">
      <c r="K261" s="102"/>
    </row>
    <row r="262" spans="11:11" ht="12" customHeight="1" x14ac:dyDescent="0.3">
      <c r="K262" s="102"/>
    </row>
    <row r="263" spans="11:11" ht="12" customHeight="1" x14ac:dyDescent="0.3">
      <c r="K263" s="102"/>
    </row>
    <row r="264" spans="11:11" ht="12" customHeight="1" x14ac:dyDescent="0.3">
      <c r="K264" s="102"/>
    </row>
    <row r="265" spans="11:11" ht="12" customHeight="1" x14ac:dyDescent="0.3">
      <c r="K265" s="102"/>
    </row>
    <row r="266" spans="11:11" ht="12" customHeight="1" x14ac:dyDescent="0.3">
      <c r="K266" s="102"/>
    </row>
    <row r="267" spans="11:11" ht="12" customHeight="1" x14ac:dyDescent="0.3">
      <c r="K267" s="102"/>
    </row>
    <row r="268" spans="11:11" ht="12" customHeight="1" x14ac:dyDescent="0.3">
      <c r="K268" s="102"/>
    </row>
    <row r="269" spans="11:11" ht="12" customHeight="1" x14ac:dyDescent="0.3">
      <c r="K269" s="102"/>
    </row>
    <row r="270" spans="11:11" ht="12" customHeight="1" x14ac:dyDescent="0.3">
      <c r="K270" s="102"/>
    </row>
    <row r="271" spans="11:11" ht="12" customHeight="1" x14ac:dyDescent="0.3">
      <c r="K271" s="102"/>
    </row>
    <row r="272" spans="11:11" ht="12" customHeight="1" x14ac:dyDescent="0.3">
      <c r="K272" s="102"/>
    </row>
    <row r="273" spans="11:11" ht="12" customHeight="1" x14ac:dyDescent="0.3">
      <c r="K273" s="102"/>
    </row>
    <row r="274" spans="11:11" ht="12" customHeight="1" x14ac:dyDescent="0.3">
      <c r="K274" s="102"/>
    </row>
    <row r="275" spans="11:11" ht="12" customHeight="1" x14ac:dyDescent="0.3">
      <c r="K275" s="102"/>
    </row>
    <row r="276" spans="11:11" ht="12" customHeight="1" x14ac:dyDescent="0.3">
      <c r="K276" s="102"/>
    </row>
    <row r="277" spans="11:11" ht="12" customHeight="1" x14ac:dyDescent="0.3">
      <c r="K277" s="102"/>
    </row>
    <row r="278" spans="11:11" ht="12" customHeight="1" x14ac:dyDescent="0.3">
      <c r="K278" s="102"/>
    </row>
    <row r="279" spans="11:11" ht="12" customHeight="1" x14ac:dyDescent="0.3">
      <c r="K279" s="102"/>
    </row>
    <row r="280" spans="11:11" ht="12" customHeight="1" x14ac:dyDescent="0.3">
      <c r="K280" s="102"/>
    </row>
    <row r="281" spans="11:11" ht="12" customHeight="1" x14ac:dyDescent="0.3">
      <c r="K281" s="102"/>
    </row>
    <row r="282" spans="11:11" ht="12" customHeight="1" x14ac:dyDescent="0.3">
      <c r="K282" s="102"/>
    </row>
    <row r="283" spans="11:11" ht="12" customHeight="1" x14ac:dyDescent="0.3">
      <c r="K283" s="102"/>
    </row>
    <row r="284" spans="11:11" ht="12" customHeight="1" x14ac:dyDescent="0.3">
      <c r="K284" s="102"/>
    </row>
    <row r="285" spans="11:11" ht="12" customHeight="1" x14ac:dyDescent="0.3">
      <c r="K285" s="102"/>
    </row>
    <row r="286" spans="11:11" ht="12" customHeight="1" x14ac:dyDescent="0.3">
      <c r="K286" s="102"/>
    </row>
    <row r="287" spans="11:11" ht="12" customHeight="1" x14ac:dyDescent="0.3">
      <c r="K287" s="102"/>
    </row>
    <row r="288" spans="11:11" ht="12" customHeight="1" x14ac:dyDescent="0.3">
      <c r="K288" s="102"/>
    </row>
    <row r="289" spans="11:11" ht="12" customHeight="1" x14ac:dyDescent="0.3">
      <c r="K289" s="102"/>
    </row>
    <row r="290" spans="11:11" ht="12" customHeight="1" x14ac:dyDescent="0.3">
      <c r="K290" s="102"/>
    </row>
    <row r="291" spans="11:11" ht="12" customHeight="1" x14ac:dyDescent="0.3">
      <c r="K291" s="102"/>
    </row>
    <row r="292" spans="11:11" ht="12" customHeight="1" x14ac:dyDescent="0.3">
      <c r="K292" s="102"/>
    </row>
    <row r="293" spans="11:11" ht="12" customHeight="1" x14ac:dyDescent="0.3">
      <c r="K293" s="102"/>
    </row>
    <row r="294" spans="11:11" ht="12" customHeight="1" x14ac:dyDescent="0.3">
      <c r="K294" s="102"/>
    </row>
    <row r="295" spans="11:11" ht="12" customHeight="1" x14ac:dyDescent="0.3">
      <c r="K295" s="102"/>
    </row>
    <row r="296" spans="11:11" ht="12" customHeight="1" x14ac:dyDescent="0.3">
      <c r="K296" s="102"/>
    </row>
    <row r="297" spans="11:11" ht="12" customHeight="1" x14ac:dyDescent="0.3">
      <c r="K297" s="102"/>
    </row>
    <row r="298" spans="11:11" ht="12" customHeight="1" x14ac:dyDescent="0.3">
      <c r="K298" s="102"/>
    </row>
    <row r="299" spans="11:11" ht="12" customHeight="1" x14ac:dyDescent="0.3">
      <c r="K299" s="102"/>
    </row>
    <row r="300" spans="11:11" ht="12" customHeight="1" x14ac:dyDescent="0.3">
      <c r="K300" s="102"/>
    </row>
    <row r="301" spans="11:11" ht="12" customHeight="1" x14ac:dyDescent="0.3">
      <c r="K301" s="102"/>
    </row>
    <row r="302" spans="11:11" ht="12" customHeight="1" x14ac:dyDescent="0.3">
      <c r="K302" s="102"/>
    </row>
    <row r="303" spans="11:11" ht="12" customHeight="1" x14ac:dyDescent="0.3">
      <c r="K303" s="102"/>
    </row>
    <row r="304" spans="11:11" ht="12" customHeight="1" x14ac:dyDescent="0.3">
      <c r="K304" s="102"/>
    </row>
    <row r="305" spans="11:11" ht="12" customHeight="1" x14ac:dyDescent="0.3">
      <c r="K305" s="102"/>
    </row>
    <row r="306" spans="11:11" ht="12" customHeight="1" x14ac:dyDescent="0.3">
      <c r="K306" s="102"/>
    </row>
    <row r="307" spans="11:11" ht="12" customHeight="1" x14ac:dyDescent="0.3">
      <c r="K307" s="102"/>
    </row>
    <row r="308" spans="11:11" ht="12" customHeight="1" x14ac:dyDescent="0.3">
      <c r="K308" s="102"/>
    </row>
    <row r="309" spans="11:11" ht="12" customHeight="1" x14ac:dyDescent="0.3">
      <c r="K309" s="102"/>
    </row>
    <row r="310" spans="11:11" ht="12" customHeight="1" x14ac:dyDescent="0.3">
      <c r="K310" s="102"/>
    </row>
    <row r="311" spans="11:11" ht="12" customHeight="1" x14ac:dyDescent="0.3">
      <c r="K311" s="102"/>
    </row>
    <row r="312" spans="11:11" ht="12" customHeight="1" x14ac:dyDescent="0.3">
      <c r="K312" s="102"/>
    </row>
    <row r="313" spans="11:11" ht="12" customHeight="1" x14ac:dyDescent="0.3">
      <c r="K313" s="102"/>
    </row>
    <row r="314" spans="11:11" ht="12" customHeight="1" x14ac:dyDescent="0.3">
      <c r="K314" s="102"/>
    </row>
    <row r="315" spans="11:11" ht="12" customHeight="1" x14ac:dyDescent="0.3">
      <c r="K315" s="102"/>
    </row>
    <row r="316" spans="11:11" ht="12" customHeight="1" x14ac:dyDescent="0.3">
      <c r="K316" s="102"/>
    </row>
    <row r="317" spans="11:11" ht="12" customHeight="1" x14ac:dyDescent="0.3">
      <c r="K317" s="102"/>
    </row>
    <row r="318" spans="11:11" ht="12" customHeight="1" x14ac:dyDescent="0.3">
      <c r="K318" s="102"/>
    </row>
    <row r="319" spans="11:11" ht="12" customHeight="1" x14ac:dyDescent="0.3">
      <c r="K319" s="102"/>
    </row>
    <row r="320" spans="11:11" ht="12" customHeight="1" x14ac:dyDescent="0.3">
      <c r="K320" s="102"/>
    </row>
    <row r="321" spans="11:11" ht="12" customHeight="1" x14ac:dyDescent="0.3">
      <c r="K321" s="102"/>
    </row>
    <row r="322" spans="11:11" ht="12" customHeight="1" x14ac:dyDescent="0.3">
      <c r="K322" s="102"/>
    </row>
    <row r="323" spans="11:11" ht="12" customHeight="1" x14ac:dyDescent="0.3">
      <c r="K323" s="102"/>
    </row>
    <row r="324" spans="11:11" ht="12" customHeight="1" x14ac:dyDescent="0.3">
      <c r="K324" s="102"/>
    </row>
    <row r="325" spans="11:11" ht="12" customHeight="1" x14ac:dyDescent="0.3">
      <c r="K325" s="102"/>
    </row>
    <row r="326" spans="11:11" ht="12" customHeight="1" x14ac:dyDescent="0.3">
      <c r="K326" s="102"/>
    </row>
    <row r="327" spans="11:11" ht="12" customHeight="1" x14ac:dyDescent="0.3">
      <c r="K327" s="102"/>
    </row>
    <row r="328" spans="11:11" ht="12" customHeight="1" x14ac:dyDescent="0.3">
      <c r="K328" s="102"/>
    </row>
    <row r="329" spans="11:11" ht="12" customHeight="1" x14ac:dyDescent="0.3">
      <c r="K329" s="102"/>
    </row>
    <row r="330" spans="11:11" ht="12" customHeight="1" x14ac:dyDescent="0.3">
      <c r="K330" s="102"/>
    </row>
    <row r="331" spans="11:11" ht="12" customHeight="1" x14ac:dyDescent="0.3">
      <c r="K331" s="102"/>
    </row>
    <row r="332" spans="11:11" ht="12" customHeight="1" x14ac:dyDescent="0.3">
      <c r="K332" s="102"/>
    </row>
    <row r="333" spans="11:11" ht="12" customHeight="1" x14ac:dyDescent="0.3">
      <c r="K333" s="102"/>
    </row>
    <row r="334" spans="11:11" ht="12" customHeight="1" x14ac:dyDescent="0.3">
      <c r="K334" s="102"/>
    </row>
    <row r="335" spans="11:11" ht="12" customHeight="1" x14ac:dyDescent="0.3">
      <c r="K335" s="102"/>
    </row>
    <row r="336" spans="11:11" ht="12" customHeight="1" x14ac:dyDescent="0.3">
      <c r="K336" s="102"/>
    </row>
    <row r="337" spans="11:11" ht="12" customHeight="1" x14ac:dyDescent="0.3">
      <c r="K337" s="102"/>
    </row>
    <row r="338" spans="11:11" ht="12" customHeight="1" x14ac:dyDescent="0.3">
      <c r="K338" s="102"/>
    </row>
  </sheetData>
  <sheetProtection algorithmName="SHA-512" hashValue="lLtA7PKH3ttXstwnKHB84kwW336KBDaULxvKFmLqi3IjSl1ZS2dkBVIigyfLuthbqkvPZDKDDvVHLlmPE5LS2A==" saltValue="avR9kkYQoiv/L7G9Ump0Rg==" spinCount="100000" sheet="1"/>
  <mergeCells count="43">
    <mergeCell ref="D12:E12"/>
    <mergeCell ref="D9:E9"/>
    <mergeCell ref="D8:E8"/>
    <mergeCell ref="D29:E29"/>
    <mergeCell ref="D28:E28"/>
    <mergeCell ref="D27:E27"/>
    <mergeCell ref="D25:E25"/>
    <mergeCell ref="D26:E26"/>
    <mergeCell ref="J106:L106"/>
    <mergeCell ref="J79:J81"/>
    <mergeCell ref="K77:K81"/>
    <mergeCell ref="L77:L81"/>
    <mergeCell ref="I77:J78"/>
    <mergeCell ref="I79:I81"/>
    <mergeCell ref="L82:L103"/>
    <mergeCell ref="B7:C7"/>
    <mergeCell ref="B8:C8"/>
    <mergeCell ref="B9:C9"/>
    <mergeCell ref="D19:E19"/>
    <mergeCell ref="D24:E24"/>
    <mergeCell ref="D23:E23"/>
    <mergeCell ref="D22:E22"/>
    <mergeCell ref="D21:E21"/>
    <mergeCell ref="D20:E20"/>
    <mergeCell ref="D18:E18"/>
    <mergeCell ref="D17:E17"/>
    <mergeCell ref="D13:E13"/>
    <mergeCell ref="D16:E16"/>
    <mergeCell ref="D7:E7"/>
    <mergeCell ref="D15:E15"/>
    <mergeCell ref="D14:E14"/>
    <mergeCell ref="N2:O2"/>
    <mergeCell ref="D6:E6"/>
    <mergeCell ref="B2:E2"/>
    <mergeCell ref="B6:C6"/>
    <mergeCell ref="J2:K2"/>
    <mergeCell ref="B3:E4"/>
    <mergeCell ref="L2:M2"/>
    <mergeCell ref="N78:N81"/>
    <mergeCell ref="M78:M81"/>
    <mergeCell ref="O77:O81"/>
    <mergeCell ref="M77:N77"/>
    <mergeCell ref="H77:H81"/>
  </mergeCells>
  <phoneticPr fontId="0" type="noConversion"/>
  <conditionalFormatting sqref="E63">
    <cfRule type="expression" dxfId="2" priority="3">
      <formula>$J$66&gt;40%</formula>
    </cfRule>
  </conditionalFormatting>
  <conditionalFormatting sqref="E65">
    <cfRule type="cellIs" dxfId="1" priority="1" operator="greaterThanOrEqual">
      <formula>50000</formula>
    </cfRule>
    <cfRule type="cellIs" dxfId="0" priority="2" operator="greaterThanOrEqual">
      <formula>37500</formula>
    </cfRule>
  </conditionalFormatting>
  <dataValidations count="9">
    <dataValidation type="list" allowBlank="1" showInputMessage="1" showErrorMessage="1" sqref="D24" xr:uid="{00000000-0002-0000-0000-000000000000}">
      <formula1>$H$122:$H$123</formula1>
    </dataValidation>
    <dataValidation type="list" allowBlank="1" showInputMessage="1" showErrorMessage="1" sqref="D21" xr:uid="{00000000-0002-0000-0000-000001000000}">
      <formula1>$H$82:$H$104</formula1>
    </dataValidation>
    <dataValidation type="list" allowBlank="1" showInputMessage="1" showErrorMessage="1" sqref="D14" xr:uid="{00000000-0002-0000-0000-000002000000}">
      <formula1>$H$107:$H$108</formula1>
    </dataValidation>
    <dataValidation type="list" allowBlank="1" showInputMessage="1" showErrorMessage="1" sqref="D27" xr:uid="{00000000-0002-0000-0000-000003000000}">
      <formula1>$H$126:$H$127</formula1>
    </dataValidation>
    <dataValidation type="list" allowBlank="1" showInputMessage="1" showErrorMessage="1" sqref="D28" xr:uid="{00000000-0002-0000-0000-000004000000}">
      <formula1>$H$130:$H$131</formula1>
    </dataValidation>
    <dataValidation type="list" allowBlank="1" showInputMessage="1" showErrorMessage="1" sqref="D22" xr:uid="{00000000-0002-0000-0000-000005000000}">
      <formula1>$H$116:$H$120</formula1>
    </dataValidation>
    <dataValidation type="list" allowBlank="1" showInputMessage="1" showErrorMessage="1" sqref="D20:E20" xr:uid="{00000000-0002-0000-0000-000006000000}">
      <formula1>$H$111:$H$113</formula1>
    </dataValidation>
    <dataValidation type="list" allowBlank="1" showInputMessage="1" showErrorMessage="1" promptTitle="Erro na entrada de Dados" sqref="D29:E29" xr:uid="{00000000-0002-0000-0000-000007000000}">
      <formula1>IF($D$20="Apenas em oficina",$H$140,IF($D$20="Apenas a bordo",$H$140:$H$141,H$142:$H$143))</formula1>
    </dataValidation>
    <dataValidation type="whole" operator="lessThanOrEqual" allowBlank="1" showInputMessage="1" showErrorMessage="1" sqref="D35" xr:uid="{00000000-0002-0000-0000-000008000000}">
      <formula1>12</formula1>
    </dataValidation>
  </dataValidations>
  <pageMargins left="0.9055118110236221" right="0.19685039370078741" top="0.98425196850393704" bottom="0.15748031496062992" header="0.31496062992125984" footer="0"/>
  <pageSetup paperSize="9" scale="64" orientation="portrait" horizontalDpi="4294967293" verticalDpi="4294967293" r:id="rId1"/>
  <headerFooter alignWithMargins="0">
    <oddHeader>&amp;R&amp;"Calibri"&amp;14&amp;K0078D7NP-1&amp;1#</oddHeader>
  </headerFooter>
  <ignoredErrors>
    <ignoredError sqref="D37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P31"/>
  <sheetViews>
    <sheetView showGridLines="0" zoomScale="90" zoomScaleNormal="90" workbookViewId="0"/>
  </sheetViews>
  <sheetFormatPr defaultRowHeight="12.5" x14ac:dyDescent="0.25"/>
  <cols>
    <col min="1" max="1" width="58.453125" customWidth="1"/>
    <col min="2" max="2" width="10.1796875" style="1" customWidth="1"/>
    <col min="3" max="3" width="10.453125" style="1" bestFit="1" customWidth="1"/>
    <col min="4" max="4" width="7.26953125" style="1" customWidth="1"/>
    <col min="5" max="5" width="8.1796875" style="1" customWidth="1"/>
    <col min="6" max="6" width="12.7265625" customWidth="1"/>
    <col min="7" max="7" width="8.54296875" customWidth="1"/>
    <col min="8" max="8" width="2.1796875" customWidth="1"/>
    <col min="9" max="9" width="9.81640625" customWidth="1"/>
    <col min="11" max="11" width="13.81640625" bestFit="1" customWidth="1"/>
    <col min="15" max="15" width="13.81640625" bestFit="1" customWidth="1"/>
  </cols>
  <sheetData>
    <row r="1" spans="1:16" ht="17.25" customHeight="1" thickBot="1" x14ac:dyDescent="0.45">
      <c r="A1" s="35" t="s">
        <v>185</v>
      </c>
      <c r="B1" s="239">
        <v>45870</v>
      </c>
      <c r="C1" s="240"/>
    </row>
    <row r="2" spans="1:16" ht="13.5" customHeight="1" thickBot="1" x14ac:dyDescent="0.4">
      <c r="A2" s="36"/>
      <c r="B2" s="33"/>
    </row>
    <row r="3" spans="1:16" ht="13.5" thickBot="1" x14ac:dyDescent="0.35">
      <c r="A3" s="241" t="s">
        <v>186</v>
      </c>
      <c r="B3" s="251"/>
      <c r="C3" s="251"/>
      <c r="D3" s="251"/>
      <c r="E3" s="251"/>
      <c r="F3" s="251"/>
      <c r="G3" s="242"/>
      <c r="I3" s="241" t="s">
        <v>187</v>
      </c>
      <c r="J3" s="251"/>
      <c r="K3" s="251"/>
      <c r="L3" s="251"/>
      <c r="M3" s="251"/>
      <c r="N3" s="251"/>
      <c r="O3" s="242"/>
    </row>
    <row r="4" spans="1:16" ht="13" x14ac:dyDescent="0.3">
      <c r="A4" s="252" t="s">
        <v>188</v>
      </c>
      <c r="B4" s="254" t="s">
        <v>189</v>
      </c>
      <c r="C4" s="255"/>
      <c r="D4" s="229" t="s">
        <v>190</v>
      </c>
      <c r="E4" s="230"/>
      <c r="F4" s="231" t="s">
        <v>191</v>
      </c>
      <c r="G4" s="232"/>
      <c r="I4" s="34" t="s">
        <v>192</v>
      </c>
      <c r="J4" s="6"/>
      <c r="K4" s="6"/>
      <c r="L4" s="6"/>
      <c r="M4" s="6"/>
      <c r="N4" s="6"/>
      <c r="O4" s="7"/>
      <c r="P4" s="5"/>
    </row>
    <row r="5" spans="1:16" ht="12" customHeight="1" x14ac:dyDescent="0.3">
      <c r="A5" s="253"/>
      <c r="B5" s="14" t="s">
        <v>193</v>
      </c>
      <c r="C5" s="15" t="s">
        <v>194</v>
      </c>
      <c r="D5" s="15" t="s">
        <v>193</v>
      </c>
      <c r="E5" s="19" t="s">
        <v>194</v>
      </c>
      <c r="F5" s="233"/>
      <c r="G5" s="234"/>
      <c r="I5" s="8"/>
      <c r="J5" s="5"/>
      <c r="K5" s="5"/>
      <c r="L5" s="5"/>
      <c r="M5" s="5"/>
      <c r="N5" s="5"/>
      <c r="O5" s="9"/>
      <c r="P5" s="5"/>
    </row>
    <row r="6" spans="1:16" x14ac:dyDescent="0.25">
      <c r="A6" s="16" t="s">
        <v>195</v>
      </c>
      <c r="B6" s="49">
        <f>29346*2.22</f>
        <v>65148.12</v>
      </c>
      <c r="C6" s="49">
        <f>33000*2.22</f>
        <v>73260</v>
      </c>
      <c r="D6" s="38"/>
      <c r="E6" s="39"/>
      <c r="F6" s="235" t="s">
        <v>196</v>
      </c>
      <c r="G6" s="236"/>
      <c r="I6" s="10" t="s">
        <v>197</v>
      </c>
      <c r="M6" t="s">
        <v>198</v>
      </c>
      <c r="O6" s="11"/>
    </row>
    <row r="7" spans="1:16" x14ac:dyDescent="0.25">
      <c r="A7" s="2" t="s">
        <v>199</v>
      </c>
      <c r="B7" s="50"/>
      <c r="C7" s="50"/>
      <c r="D7" s="40">
        <f>B6/(10*20000)</f>
        <v>0.32574059999999999</v>
      </c>
      <c r="E7" s="41">
        <f>C6/(10*20000)</f>
        <v>0.36630000000000001</v>
      </c>
      <c r="F7" s="237"/>
      <c r="G7" s="238"/>
      <c r="I7" s="27" t="s">
        <v>200</v>
      </c>
      <c r="J7" s="28" t="s">
        <v>201</v>
      </c>
      <c r="K7" s="28" t="s">
        <v>202</v>
      </c>
      <c r="M7" s="28" t="s">
        <v>200</v>
      </c>
      <c r="N7" s="28" t="s">
        <v>201</v>
      </c>
      <c r="O7" s="31" t="s">
        <v>202</v>
      </c>
    </row>
    <row r="8" spans="1:16" x14ac:dyDescent="0.25">
      <c r="A8" s="2" t="s">
        <v>203</v>
      </c>
      <c r="B8" s="50"/>
      <c r="C8" s="50"/>
      <c r="D8" s="40">
        <f>(0.1*B6)/20000</f>
        <v>0.32574060000000005</v>
      </c>
      <c r="E8" s="41">
        <f>(0.1*C6)/20000</f>
        <v>0.36630000000000001</v>
      </c>
      <c r="F8" s="237" t="s">
        <v>204</v>
      </c>
      <c r="G8" s="238"/>
      <c r="I8" s="29">
        <v>276.39999999999998</v>
      </c>
      <c r="J8" s="30">
        <v>359.31</v>
      </c>
      <c r="K8" s="30">
        <v>359.31</v>
      </c>
      <c r="M8" s="30">
        <v>604.75</v>
      </c>
      <c r="N8" s="30">
        <v>786.18</v>
      </c>
      <c r="O8" s="32">
        <v>786.18</v>
      </c>
    </row>
    <row r="9" spans="1:16" x14ac:dyDescent="0.25">
      <c r="A9" s="2" t="s">
        <v>205</v>
      </c>
      <c r="B9" s="50">
        <f>3.2*2.22</f>
        <v>7.104000000000001</v>
      </c>
      <c r="C9" s="50">
        <f>3.6*2.22</f>
        <v>7.9920000000000009</v>
      </c>
      <c r="D9" s="40">
        <f>B9/10</f>
        <v>0.71040000000000014</v>
      </c>
      <c r="E9" s="41">
        <f>C9/10</f>
        <v>0.79920000000000013</v>
      </c>
      <c r="F9" s="237"/>
      <c r="G9" s="238"/>
      <c r="I9" s="10"/>
      <c r="O9" s="11"/>
    </row>
    <row r="10" spans="1:16" x14ac:dyDescent="0.25">
      <c r="A10" s="2" t="s">
        <v>206</v>
      </c>
      <c r="B10" s="50">
        <f>45*2.22</f>
        <v>99.9</v>
      </c>
      <c r="C10" s="50">
        <f>49.99*2.22</f>
        <v>110.97780000000002</v>
      </c>
      <c r="D10" s="147">
        <f>B10*3/7500</f>
        <v>3.9960000000000009E-2</v>
      </c>
      <c r="E10" s="41">
        <f>C10*3/7500</f>
        <v>4.4391120000000006E-2</v>
      </c>
      <c r="F10" s="237" t="s">
        <v>207</v>
      </c>
      <c r="G10" s="238"/>
      <c r="I10" s="12" t="s">
        <v>208</v>
      </c>
      <c r="J10" s="148"/>
      <c r="K10" s="148"/>
      <c r="L10" s="148"/>
      <c r="M10" s="148"/>
      <c r="N10" s="148"/>
      <c r="O10" s="149"/>
    </row>
    <row r="11" spans="1:16" x14ac:dyDescent="0.25">
      <c r="A11" s="2" t="s">
        <v>209</v>
      </c>
      <c r="B11" s="50">
        <f>313*2.22</f>
        <v>694.86</v>
      </c>
      <c r="C11" s="50">
        <f>375*2.22</f>
        <v>832.50000000000011</v>
      </c>
      <c r="D11" s="147">
        <f>B11*4/45000</f>
        <v>6.1765333333333332E-2</v>
      </c>
      <c r="E11" s="41">
        <f>C11*4/45000</f>
        <v>7.400000000000001E-2</v>
      </c>
      <c r="F11" s="237" t="s">
        <v>207</v>
      </c>
      <c r="G11" s="238"/>
      <c r="I11" s="46" t="s">
        <v>210</v>
      </c>
      <c r="J11" s="148"/>
      <c r="K11" s="148"/>
      <c r="L11" s="148"/>
      <c r="M11" s="148"/>
      <c r="N11" s="148"/>
      <c r="O11" s="149"/>
      <c r="P11" s="148"/>
    </row>
    <row r="12" spans="1:16" x14ac:dyDescent="0.25">
      <c r="A12" s="2" t="s">
        <v>211</v>
      </c>
      <c r="B12" s="50">
        <f>924*2.22</f>
        <v>2051.2800000000002</v>
      </c>
      <c r="C12" s="50">
        <f>1244*2.22</f>
        <v>2761.6800000000003</v>
      </c>
      <c r="D12" s="147">
        <f>B12/30000</f>
        <v>6.8376000000000006E-2</v>
      </c>
      <c r="E12" s="41">
        <f>C12/30000</f>
        <v>9.2056000000000013E-2</v>
      </c>
      <c r="F12" s="237" t="s">
        <v>207</v>
      </c>
      <c r="G12" s="238"/>
      <c r="I12" s="10"/>
      <c r="O12" s="11"/>
      <c r="P12" s="148"/>
    </row>
    <row r="13" spans="1:16" x14ac:dyDescent="0.25">
      <c r="A13" s="2" t="s">
        <v>212</v>
      </c>
      <c r="B13" s="50">
        <f>336*2.22</f>
        <v>745.92000000000007</v>
      </c>
      <c r="C13" s="50">
        <f>695*2.22</f>
        <v>1542.9</v>
      </c>
      <c r="D13" s="40">
        <f>B13*16/20000</f>
        <v>0.59673600000000004</v>
      </c>
      <c r="E13" s="41">
        <f>C13*16/20000</f>
        <v>1.2343200000000001</v>
      </c>
      <c r="F13" s="237" t="s">
        <v>213</v>
      </c>
      <c r="G13" s="238"/>
      <c r="I13" s="150"/>
      <c r="J13" s="148"/>
      <c r="K13" s="148"/>
      <c r="L13" s="148"/>
      <c r="M13" s="148"/>
      <c r="N13" s="148"/>
      <c r="O13" s="149"/>
      <c r="P13" s="148"/>
    </row>
    <row r="14" spans="1:16" x14ac:dyDescent="0.25">
      <c r="A14" s="2" t="s">
        <v>214</v>
      </c>
      <c r="B14" s="4"/>
      <c r="C14" s="4"/>
      <c r="D14" s="40">
        <f>0.03*B6/20000</f>
        <v>9.7722180000000006E-2</v>
      </c>
      <c r="E14" s="41">
        <f>0.03*C6/20000</f>
        <v>0.10988999999999999</v>
      </c>
      <c r="F14" s="237"/>
      <c r="G14" s="238"/>
      <c r="I14" s="248" t="s">
        <v>215</v>
      </c>
      <c r="J14" s="249"/>
      <c r="K14" s="249"/>
      <c r="L14" s="249"/>
      <c r="M14" s="249"/>
      <c r="N14" s="249"/>
      <c r="O14" s="250"/>
      <c r="P14" s="148"/>
    </row>
    <row r="15" spans="1:16" ht="12.75" customHeight="1" x14ac:dyDescent="0.25">
      <c r="A15" s="18" t="s">
        <v>216</v>
      </c>
      <c r="B15" s="17"/>
      <c r="C15" s="17"/>
      <c r="D15" s="42"/>
      <c r="E15" s="43"/>
      <c r="F15" s="246"/>
      <c r="G15" s="247"/>
      <c r="I15" s="243" t="s">
        <v>217</v>
      </c>
      <c r="J15" s="244"/>
      <c r="K15" s="244"/>
      <c r="L15" s="244"/>
      <c r="M15" s="244"/>
      <c r="N15" s="244"/>
      <c r="O15" s="245"/>
      <c r="P15" s="148"/>
    </row>
    <row r="16" spans="1:16" ht="13" x14ac:dyDescent="0.3">
      <c r="A16" s="10"/>
      <c r="B16" s="3"/>
      <c r="C16" s="37" t="s">
        <v>218</v>
      </c>
      <c r="D16" s="30">
        <f>SUM(D7:D14)</f>
        <v>2.2264407133333335</v>
      </c>
      <c r="E16" s="30">
        <f>SUM(E7:E14)</f>
        <v>3.0864571200000004</v>
      </c>
      <c r="F16" s="44" t="s">
        <v>219</v>
      </c>
      <c r="G16" s="45">
        <f>(D16+E16)/2</f>
        <v>2.6564489166666672</v>
      </c>
      <c r="I16" s="10"/>
      <c r="O16" s="11"/>
    </row>
    <row r="17" spans="1:15" ht="12.75" customHeight="1" x14ac:dyDescent="0.3">
      <c r="A17" s="10" t="s">
        <v>220</v>
      </c>
      <c r="B17" s="3"/>
      <c r="C17" s="3"/>
      <c r="G17" s="11"/>
      <c r="I17" s="10" t="s">
        <v>197</v>
      </c>
      <c r="M17" t="s">
        <v>198</v>
      </c>
      <c r="O17" s="11"/>
    </row>
    <row r="18" spans="1:15" ht="13" x14ac:dyDescent="0.3">
      <c r="A18" s="10" t="s">
        <v>221</v>
      </c>
      <c r="B18" s="3"/>
      <c r="C18" s="3"/>
      <c r="G18" s="11"/>
      <c r="I18" s="27" t="s">
        <v>200</v>
      </c>
      <c r="J18" s="28" t="s">
        <v>201</v>
      </c>
      <c r="K18" s="28" t="s">
        <v>222</v>
      </c>
      <c r="M18" s="28" t="s">
        <v>200</v>
      </c>
      <c r="N18" s="28" t="s">
        <v>201</v>
      </c>
      <c r="O18" s="31" t="s">
        <v>222</v>
      </c>
    </row>
    <row r="19" spans="1:15" ht="13.5" thickBot="1" x14ac:dyDescent="0.35">
      <c r="A19" s="142" t="s">
        <v>223</v>
      </c>
      <c r="B19" s="143">
        <v>1.4</v>
      </c>
      <c r="C19" s="143" t="s">
        <v>115</v>
      </c>
      <c r="G19" s="11"/>
      <c r="I19" s="47">
        <f>ROUNDUP(I8*2.3296254/0.8575,0)</f>
        <v>751</v>
      </c>
      <c r="J19" s="47">
        <f>ROUNDUP(J8*2.3296254/0.8575,0)</f>
        <v>977</v>
      </c>
      <c r="K19" s="47">
        <f>ROUNDUP(K8*2.3296254/0.8575,0)</f>
        <v>977</v>
      </c>
      <c r="L19" s="48"/>
      <c r="M19" s="47">
        <f>ROUNDUP(M8*2.3296254/0.8575,0)</f>
        <v>1643</v>
      </c>
      <c r="N19" s="47">
        <f>ROUNDUP(N8*2.3296254/0.8575,0)</f>
        <v>2136</v>
      </c>
      <c r="O19" s="47">
        <f>ROUNDUP(O8*2.3296254/0.8575,0)</f>
        <v>2136</v>
      </c>
    </row>
    <row r="20" spans="1:15" ht="13.5" thickBot="1" x14ac:dyDescent="0.35">
      <c r="A20" s="144" t="s">
        <v>229</v>
      </c>
      <c r="B20" s="51">
        <f>ROUNDUP(B19*2.0567102,1)</f>
        <v>2.9</v>
      </c>
      <c r="C20" s="22" t="s">
        <v>115</v>
      </c>
      <c r="D20" s="23"/>
      <c r="E20" s="23"/>
      <c r="F20" s="26"/>
      <c r="G20" s="24"/>
    </row>
    <row r="21" spans="1:15" ht="13" x14ac:dyDescent="0.3">
      <c r="A21" s="20"/>
      <c r="B21" s="21"/>
      <c r="C21" s="3"/>
    </row>
    <row r="22" spans="1:15" ht="13.5" thickBot="1" x14ac:dyDescent="0.35">
      <c r="B22" s="3"/>
      <c r="C22" s="3"/>
      <c r="I22" t="s">
        <v>200</v>
      </c>
      <c r="J22" t="s">
        <v>224</v>
      </c>
    </row>
    <row r="23" spans="1:15" ht="13.5" thickBot="1" x14ac:dyDescent="0.35">
      <c r="A23" s="241" t="s">
        <v>225</v>
      </c>
      <c r="B23" s="242"/>
      <c r="C23" s="5"/>
      <c r="I23" s="1" t="s">
        <v>201</v>
      </c>
      <c r="J23" s="1" t="s">
        <v>226</v>
      </c>
    </row>
    <row r="24" spans="1:15" ht="13" x14ac:dyDescent="0.3">
      <c r="A24" s="12" t="s">
        <v>227</v>
      </c>
      <c r="B24" s="52">
        <v>25</v>
      </c>
      <c r="C24" s="3"/>
    </row>
    <row r="25" spans="1:15" ht="13" x14ac:dyDescent="0.3">
      <c r="A25" s="142" t="s">
        <v>228</v>
      </c>
      <c r="B25" s="52">
        <v>36</v>
      </c>
      <c r="C25" s="3"/>
    </row>
    <row r="26" spans="1:15" ht="13.5" thickBot="1" x14ac:dyDescent="0.35">
      <c r="A26" s="144" t="s">
        <v>230</v>
      </c>
      <c r="B26" s="145">
        <f>ROUNDUP(B25*2.0567102,0)</f>
        <v>75</v>
      </c>
      <c r="C26" s="3"/>
    </row>
    <row r="27" spans="1:15" ht="13" x14ac:dyDescent="0.3">
      <c r="C27" s="3"/>
    </row>
    <row r="29" spans="1:15" ht="13" x14ac:dyDescent="0.3">
      <c r="A29" s="1"/>
      <c r="C29" s="3"/>
      <c r="I29" s="13"/>
    </row>
    <row r="30" spans="1:15" x14ac:dyDescent="0.25">
      <c r="F30" s="20"/>
    </row>
    <row r="31" spans="1:15" x14ac:dyDescent="0.25">
      <c r="J31" s="25"/>
    </row>
  </sheetData>
  <mergeCells count="20">
    <mergeCell ref="F9:G9"/>
    <mergeCell ref="B1:C1"/>
    <mergeCell ref="A23:B23"/>
    <mergeCell ref="I15:O15"/>
    <mergeCell ref="F15:G15"/>
    <mergeCell ref="I14:O14"/>
    <mergeCell ref="A3:G3"/>
    <mergeCell ref="I3:O3"/>
    <mergeCell ref="F13:G13"/>
    <mergeCell ref="F14:G14"/>
    <mergeCell ref="F10:G10"/>
    <mergeCell ref="F11:G11"/>
    <mergeCell ref="F12:G12"/>
    <mergeCell ref="A4:A5"/>
    <mergeCell ref="B4:C4"/>
    <mergeCell ref="D4:E4"/>
    <mergeCell ref="F4:G5"/>
    <mergeCell ref="F6:G6"/>
    <mergeCell ref="F7:G7"/>
    <mergeCell ref="F8:G8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1200" verticalDpi="1200" r:id="rId1"/>
  <headerFooter alignWithMargins="0">
    <oddHeader>&amp;R&amp;"Calibri"&amp;14&amp;K0078D7NP-1&amp;1#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d3c27a-27bc-4437-9981-1e2903c7f9e5">
      <Terms xmlns="http://schemas.microsoft.com/office/infopath/2007/PartnerControls"/>
    </lcf76f155ced4ddcb4097134ff3c332f>
    <TaxCatchAll xmlns="7c465fa9-d1c6-407e-8062-f42278d1d57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0839EEC413D42B936D22B25F6F0F0" ma:contentTypeVersion="13" ma:contentTypeDescription="Crie um novo documento." ma:contentTypeScope="" ma:versionID="9bb85f9f46df1978345694967651d506">
  <xsd:schema xmlns:xsd="http://www.w3.org/2001/XMLSchema" xmlns:xs="http://www.w3.org/2001/XMLSchema" xmlns:p="http://schemas.microsoft.com/office/2006/metadata/properties" xmlns:ns2="add3c27a-27bc-4437-9981-1e2903c7f9e5" xmlns:ns3="7c465fa9-d1c6-407e-8062-f42278d1d57c" targetNamespace="http://schemas.microsoft.com/office/2006/metadata/properties" ma:root="true" ma:fieldsID="01d2eb1d94b32b42be1e055a4c67bf1b" ns2:_="" ns3:_="">
    <xsd:import namespace="add3c27a-27bc-4437-9981-1e2903c7f9e5"/>
    <xsd:import namespace="7c465fa9-d1c6-407e-8062-f42278d1d5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3c27a-27bc-4437-9981-1e2903c7f9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4bb34d3b-689d-4395-b7bd-987435fe9e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65fa9-d1c6-407e-8062-f42278d1d5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a169bd-1048-4f38-af2c-3d946b83854b}" ma:internalName="TaxCatchAll" ma:showField="CatchAllData" ma:web="7c465fa9-d1c6-407e-8062-f42278d1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6659B6-9F7A-4DEE-A111-8121C4C5F981}">
  <ds:schemaRefs>
    <ds:schemaRef ds:uri="http://schemas.microsoft.com/office/2006/metadata/properties"/>
    <ds:schemaRef ds:uri="http://schemas.microsoft.com/office/infopath/2007/PartnerControls"/>
    <ds:schemaRef ds:uri="2e0b2bba-8d56-4486-9dfe-41fc1cb198cb"/>
    <ds:schemaRef ds:uri="333c8369-f52d-4a22-be22-6699538139bc"/>
  </ds:schemaRefs>
</ds:datastoreItem>
</file>

<file path=customXml/itemProps2.xml><?xml version="1.0" encoding="utf-8"?>
<ds:datastoreItem xmlns:ds="http://schemas.openxmlformats.org/officeDocument/2006/customXml" ds:itemID="{6645685D-E04A-43A3-A2E9-9AEA6CA25B0A}"/>
</file>

<file path=customXml/itemProps3.xml><?xml version="1.0" encoding="utf-8"?>
<ds:datastoreItem xmlns:ds="http://schemas.openxmlformats.org/officeDocument/2006/customXml" ds:itemID="{504F0863-BC5C-489E-A2BA-759F24410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Proposta preliminar</vt:lpstr>
      <vt:lpstr>Km rodado, refeição e Lancha</vt:lpstr>
      <vt:lpstr>'Proposta preliminar'!Area_de_impressao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Ronaldo</dc:creator>
  <cp:keywords/>
  <dc:description/>
  <cp:lastModifiedBy>Fernanda Reimao de Oliveira Fernandes</cp:lastModifiedBy>
  <cp:revision/>
  <dcterms:created xsi:type="dcterms:W3CDTF">2005-08-04T02:45:32Z</dcterms:created>
  <dcterms:modified xsi:type="dcterms:W3CDTF">2025-08-04T21:10:22Z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04e46-aa04-4baf-97d9-00f96bc46b59_Enabled">
    <vt:lpwstr>True</vt:lpwstr>
  </property>
  <property fmtid="{D5CDD505-2E9C-101B-9397-08002B2CF9AE}" pid="3" name="MSIP_Label_23104e46-aa04-4baf-97d9-00f96bc46b59_SiteId">
    <vt:lpwstr>46f6a780-86e1-4570-9459-bb97b7d99f9d</vt:lpwstr>
  </property>
  <property fmtid="{D5CDD505-2E9C-101B-9397-08002B2CF9AE}" pid="4" name="MSIP_Label_23104e46-aa04-4baf-97d9-00f96bc46b59_Owner">
    <vt:lpwstr>marcusvalerio@transpetro.com.br</vt:lpwstr>
  </property>
  <property fmtid="{D5CDD505-2E9C-101B-9397-08002B2CF9AE}" pid="5" name="MSIP_Label_23104e46-aa04-4baf-97d9-00f96bc46b59_SetDate">
    <vt:lpwstr>2020-02-28T09:26:13.7862177Z</vt:lpwstr>
  </property>
  <property fmtid="{D5CDD505-2E9C-101B-9397-08002B2CF9AE}" pid="6" name="MSIP_Label_23104e46-aa04-4baf-97d9-00f96bc46b59_Name">
    <vt:lpwstr>NP-1</vt:lpwstr>
  </property>
  <property fmtid="{D5CDD505-2E9C-101B-9397-08002B2CF9AE}" pid="7" name="MSIP_Label_23104e46-aa04-4baf-97d9-00f96bc46b59_Application">
    <vt:lpwstr>Microsoft Azure Information Protection</vt:lpwstr>
  </property>
  <property fmtid="{D5CDD505-2E9C-101B-9397-08002B2CF9AE}" pid="8" name="MSIP_Label_23104e46-aa04-4baf-97d9-00f96bc46b59_ActionId">
    <vt:lpwstr>c2d5d557-25aa-4fe1-9247-44181d2ec9f9</vt:lpwstr>
  </property>
  <property fmtid="{D5CDD505-2E9C-101B-9397-08002B2CF9AE}" pid="9" name="MSIP_Label_23104e46-aa04-4baf-97d9-00f96bc46b59_Extended_MSFT_Method">
    <vt:lpwstr>Automatic</vt:lpwstr>
  </property>
  <property fmtid="{D5CDD505-2E9C-101B-9397-08002B2CF9AE}" pid="10" name="Sensitivity">
    <vt:lpwstr>NP-1</vt:lpwstr>
  </property>
  <property fmtid="{D5CDD505-2E9C-101B-9397-08002B2CF9AE}" pid="11" name="ContentTypeId">
    <vt:lpwstr>0x010100A060839EEC413D42B936D22B25F6F0F0</vt:lpwstr>
  </property>
  <property fmtid="{D5CDD505-2E9C-101B-9397-08002B2CF9AE}" pid="12" name="MediaServiceImageTags">
    <vt:lpwstr/>
  </property>
</Properties>
</file>